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-120" yWindow="-120" windowWidth="29040" windowHeight="15840" activeTab="6"/>
  </bookViews>
  <sheets>
    <sheet name="№ 1 источ " sheetId="199" r:id="rId1"/>
    <sheet name="№ 2 дох." sheetId="206" r:id="rId2"/>
    <sheet name="№ 3 р.п" sheetId="143" r:id="rId3"/>
    <sheet name="№ 4 ведом" sheetId="154" r:id="rId4"/>
    <sheet name=" № 5  рп, кцср, квр" sheetId="155" r:id="rId5"/>
    <sheet name="№ 6 МП" sheetId="147" r:id="rId6"/>
    <sheet name="№ 8 АИП " sheetId="205" r:id="rId7"/>
  </sheets>
  <externalReferences>
    <externalReference r:id="rId8"/>
    <externalReference r:id="rId9"/>
  </externalReferences>
  <definedNames>
    <definedName name="_FilterDatabase" localSheetId="4" hidden="1">' № 5  рп, кцср, квр'!$A$7:$G$894</definedName>
    <definedName name="_FilterDatabase" localSheetId="3" hidden="1">'№ 4 ведом'!$A$9:$H$991</definedName>
    <definedName name="_FilterDatabase" localSheetId="5" hidden="1">'№ 6 МП'!$A$1:$F$599</definedName>
    <definedName name="_xlnm._FilterDatabase" localSheetId="4" hidden="1">' № 5  рп, кцср, квр'!$A$8:$G$894</definedName>
    <definedName name="_xlnm._FilterDatabase" localSheetId="3" hidden="1">'№ 4 ведом'!$A$8:$H$991</definedName>
    <definedName name="Print_Area" localSheetId="2">'№ 3 р.п'!$A$1:$E$49</definedName>
    <definedName name="Print_Area" localSheetId="3">'№ 4 ведом'!$A$1:$H$991</definedName>
    <definedName name="Print_Area" localSheetId="5">'№ 6 МП'!$A$1:$F$599</definedName>
    <definedName name="_xlnm.Print_Area" localSheetId="1">'№ 2 дох.'!$A$1:$E$183</definedName>
    <definedName name="_xlnm.Print_Area" localSheetId="5">'№ 6 МП'!$A$1:$F$612</definedName>
    <definedName name="_xlnm.Print_Area" localSheetId="6">'№ 8 АИП '!$A$1:$M$18</definedName>
  </definedName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55"/>
  <c r="G9"/>
  <c r="E9"/>
  <c r="G163" i="154"/>
  <c r="G678"/>
  <c r="D13" i="199"/>
  <c r="E13"/>
  <c r="C13"/>
  <c r="D18"/>
  <c r="E9" i="143"/>
  <c r="C9"/>
  <c r="C181" i="206"/>
  <c r="C180"/>
  <c r="C179" s="1"/>
  <c r="C174" s="1"/>
  <c r="E179"/>
  <c r="D179"/>
  <c r="E177"/>
  <c r="D177"/>
  <c r="C177"/>
  <c r="E175"/>
  <c r="E174" s="1"/>
  <c r="D175"/>
  <c r="D174" s="1"/>
  <c r="C175"/>
  <c r="C173"/>
  <c r="C170"/>
  <c r="C169"/>
  <c r="C168" s="1"/>
  <c r="C159" s="1"/>
  <c r="E168"/>
  <c r="D168"/>
  <c r="E166"/>
  <c r="D166"/>
  <c r="D159" s="1"/>
  <c r="C166"/>
  <c r="E164"/>
  <c r="D164"/>
  <c r="C164"/>
  <c r="E162"/>
  <c r="D162"/>
  <c r="C162"/>
  <c r="E160"/>
  <c r="E159" s="1"/>
  <c r="E116" s="1"/>
  <c r="E115" s="1"/>
  <c r="D160"/>
  <c r="C160"/>
  <c r="C151"/>
  <c r="C149"/>
  <c r="C147"/>
  <c r="C145"/>
  <c r="C141" s="1"/>
  <c r="E141"/>
  <c r="D141"/>
  <c r="D122" s="1"/>
  <c r="C140"/>
  <c r="E139"/>
  <c r="D139"/>
  <c r="C139"/>
  <c r="E137"/>
  <c r="D137"/>
  <c r="C137"/>
  <c r="E135"/>
  <c r="D135"/>
  <c r="C135"/>
  <c r="E133"/>
  <c r="D133"/>
  <c r="C133"/>
  <c r="E131"/>
  <c r="D131"/>
  <c r="C131"/>
  <c r="E129"/>
  <c r="D129"/>
  <c r="C129"/>
  <c r="E127"/>
  <c r="E122" s="1"/>
  <c r="D127"/>
  <c r="C127"/>
  <c r="E126"/>
  <c r="D126"/>
  <c r="C126"/>
  <c r="C125"/>
  <c r="E124"/>
  <c r="D124"/>
  <c r="D123" s="1"/>
  <c r="C124"/>
  <c r="C123" s="1"/>
  <c r="E123"/>
  <c r="E120"/>
  <c r="E117" s="1"/>
  <c r="D120"/>
  <c r="D117" s="1"/>
  <c r="C120"/>
  <c r="E118"/>
  <c r="D118"/>
  <c r="C118"/>
  <c r="C117"/>
  <c r="E112"/>
  <c r="D112"/>
  <c r="D111" s="1"/>
  <c r="C112"/>
  <c r="C111" s="1"/>
  <c r="E111"/>
  <c r="E109"/>
  <c r="D109"/>
  <c r="C109"/>
  <c r="E108"/>
  <c r="D108"/>
  <c r="C108"/>
  <c r="E106"/>
  <c r="E105" s="1"/>
  <c r="D106"/>
  <c r="D105" s="1"/>
  <c r="C106"/>
  <c r="C105"/>
  <c r="E103"/>
  <c r="D103"/>
  <c r="C103"/>
  <c r="E101"/>
  <c r="D101"/>
  <c r="C101"/>
  <c r="E98"/>
  <c r="D98"/>
  <c r="C98"/>
  <c r="E96"/>
  <c r="D96"/>
  <c r="C96"/>
  <c r="E94"/>
  <c r="D94"/>
  <c r="C94"/>
  <c r="E92"/>
  <c r="E81" s="1"/>
  <c r="D92"/>
  <c r="D81" s="1"/>
  <c r="C92"/>
  <c r="E90"/>
  <c r="D90"/>
  <c r="C90"/>
  <c r="E88"/>
  <c r="D88"/>
  <c r="C88"/>
  <c r="E86"/>
  <c r="D86"/>
  <c r="C86"/>
  <c r="E84"/>
  <c r="D84"/>
  <c r="C84"/>
  <c r="E82"/>
  <c r="D82"/>
  <c r="C82"/>
  <c r="C81" s="1"/>
  <c r="C80" s="1"/>
  <c r="E79"/>
  <c r="E78" s="1"/>
  <c r="D79"/>
  <c r="D78" s="1"/>
  <c r="C79"/>
  <c r="C78"/>
  <c r="E76"/>
  <c r="D76"/>
  <c r="C76"/>
  <c r="C75" s="1"/>
  <c r="E75"/>
  <c r="D75"/>
  <c r="E73"/>
  <c r="E72" s="1"/>
  <c r="E71" s="1"/>
  <c r="D73"/>
  <c r="C73"/>
  <c r="D72"/>
  <c r="D71" s="1"/>
  <c r="C72"/>
  <c r="C71" s="1"/>
  <c r="E69"/>
  <c r="D69"/>
  <c r="C69"/>
  <c r="E68"/>
  <c r="E67" s="1"/>
  <c r="D68"/>
  <c r="D67" s="1"/>
  <c r="C68"/>
  <c r="C67"/>
  <c r="E65"/>
  <c r="D65"/>
  <c r="C65"/>
  <c r="E63"/>
  <c r="E62" s="1"/>
  <c r="D63"/>
  <c r="C63"/>
  <c r="C62" s="1"/>
  <c r="D62"/>
  <c r="E60"/>
  <c r="D60"/>
  <c r="D55" s="1"/>
  <c r="D54" s="1"/>
  <c r="C60"/>
  <c r="C55" s="1"/>
  <c r="C54" s="1"/>
  <c r="E58"/>
  <c r="D58"/>
  <c r="C58"/>
  <c r="E56"/>
  <c r="D56"/>
  <c r="C56"/>
  <c r="E55"/>
  <c r="E54" s="1"/>
  <c r="E52"/>
  <c r="D52"/>
  <c r="C52"/>
  <c r="C51" s="1"/>
  <c r="E51"/>
  <c r="D51"/>
  <c r="E49"/>
  <c r="D49"/>
  <c r="C49"/>
  <c r="E47"/>
  <c r="D47"/>
  <c r="D46" s="1"/>
  <c r="D43" s="1"/>
  <c r="C47"/>
  <c r="C46" s="1"/>
  <c r="C43" s="1"/>
  <c r="E46"/>
  <c r="E44"/>
  <c r="D44"/>
  <c r="C44"/>
  <c r="E43"/>
  <c r="E41"/>
  <c r="D41"/>
  <c r="C41"/>
  <c r="E39"/>
  <c r="D39"/>
  <c r="C39"/>
  <c r="E37"/>
  <c r="E36" s="1"/>
  <c r="D37"/>
  <c r="C37"/>
  <c r="C36" s="1"/>
  <c r="D36"/>
  <c r="D35"/>
  <c r="E33"/>
  <c r="D33"/>
  <c r="C33"/>
  <c r="E31"/>
  <c r="D31"/>
  <c r="C31"/>
  <c r="E29"/>
  <c r="D29"/>
  <c r="C29"/>
  <c r="E27"/>
  <c r="E26" s="1"/>
  <c r="E25" s="1"/>
  <c r="D27"/>
  <c r="D26" s="1"/>
  <c r="D25" s="1"/>
  <c r="C27"/>
  <c r="C26"/>
  <c r="C25" s="1"/>
  <c r="E13"/>
  <c r="E12" s="1"/>
  <c r="D13"/>
  <c r="C13"/>
  <c r="D12"/>
  <c r="C12"/>
  <c r="D116" l="1"/>
  <c r="D115" s="1"/>
  <c r="C11"/>
  <c r="C183" s="1"/>
  <c r="E11"/>
  <c r="E183" s="1"/>
  <c r="E35"/>
  <c r="E80"/>
  <c r="C116"/>
  <c r="C115" s="1"/>
  <c r="C35"/>
  <c r="C122"/>
  <c r="D80"/>
  <c r="D11" s="1"/>
  <c r="D183" s="1"/>
  <c r="F537" i="147" l="1"/>
  <c r="D537"/>
  <c r="H646" i="154"/>
  <c r="F646"/>
  <c r="F579"/>
  <c r="F581"/>
  <c r="F108" l="1"/>
  <c r="F104"/>
  <c r="F101"/>
  <c r="L22" i="205"/>
  <c r="K22"/>
  <c r="J22"/>
  <c r="I22"/>
  <c r="H22"/>
  <c r="G22"/>
  <c r="F22"/>
  <c r="E22"/>
  <c r="D22"/>
  <c r="L17"/>
  <c r="L16" s="1"/>
  <c r="L15" s="1"/>
  <c r="L14" s="1"/>
  <c r="H17"/>
  <c r="I17" s="1"/>
  <c r="I16" s="1"/>
  <c r="I15" s="1"/>
  <c r="I14" s="1"/>
  <c r="E17"/>
  <c r="F17" s="1"/>
  <c r="K16"/>
  <c r="J16"/>
  <c r="J15" s="1"/>
  <c r="J14" s="1"/>
  <c r="G16"/>
  <c r="D16"/>
  <c r="K15"/>
  <c r="K14" s="1"/>
  <c r="G15"/>
  <c r="G14" s="1"/>
  <c r="D15"/>
  <c r="D14"/>
  <c r="L13"/>
  <c r="L12" s="1"/>
  <c r="L8" s="1"/>
  <c r="L18" s="1"/>
  <c r="I13"/>
  <c r="I12" s="1"/>
  <c r="D13"/>
  <c r="D12" s="1"/>
  <c r="K12"/>
  <c r="J12"/>
  <c r="H12"/>
  <c r="G12"/>
  <c r="E12"/>
  <c r="E8" s="1"/>
  <c r="G11"/>
  <c r="I11" s="1"/>
  <c r="I9" s="1"/>
  <c r="F11"/>
  <c r="L10"/>
  <c r="L9" s="1"/>
  <c r="I10"/>
  <c r="D10"/>
  <c r="D9" s="1"/>
  <c r="K9"/>
  <c r="J9"/>
  <c r="H9"/>
  <c r="E9"/>
  <c r="K8"/>
  <c r="K18" s="1"/>
  <c r="J8"/>
  <c r="J18" s="1"/>
  <c r="H8"/>
  <c r="G9" l="1"/>
  <c r="G8" s="1"/>
  <c r="G18" s="1"/>
  <c r="D8"/>
  <c r="D18" s="1"/>
  <c r="E16"/>
  <c r="H16"/>
  <c r="H15" s="1"/>
  <c r="H14" s="1"/>
  <c r="H18" s="1"/>
  <c r="I8"/>
  <c r="I18" s="1"/>
  <c r="F10"/>
  <c r="F9" s="1"/>
  <c r="F13"/>
  <c r="F12" s="1"/>
  <c r="E15" l="1"/>
  <c r="F16"/>
  <c r="F8"/>
  <c r="F220" i="154"/>
  <c r="F218"/>
  <c r="F175" i="155"/>
  <c r="G175"/>
  <c r="G117" i="154"/>
  <c r="G116" s="1"/>
  <c r="G115" s="1"/>
  <c r="H117"/>
  <c r="H116" s="1"/>
  <c r="H115" s="1"/>
  <c r="F117"/>
  <c r="F116" s="1"/>
  <c r="F115" s="1"/>
  <c r="F29"/>
  <c r="F781"/>
  <c r="F778"/>
  <c r="F755"/>
  <c r="F746"/>
  <c r="F744"/>
  <c r="F766"/>
  <c r="F764"/>
  <c r="F703"/>
  <c r="E175" i="155" s="1"/>
  <c r="F701" i="154"/>
  <c r="F27"/>
  <c r="F17"/>
  <c r="F229"/>
  <c r="F665"/>
  <c r="F687"/>
  <c r="F96"/>
  <c r="F188"/>
  <c r="F163"/>
  <c r="F173"/>
  <c r="F326"/>
  <c r="F307"/>
  <c r="F299"/>
  <c r="F293"/>
  <c r="F490"/>
  <c r="F146"/>
  <c r="F511"/>
  <c r="F515"/>
  <c r="F820"/>
  <c r="F832"/>
  <c r="F828"/>
  <c r="F814"/>
  <c r="F796"/>
  <c r="F925"/>
  <c r="F803"/>
  <c r="F961"/>
  <c r="F959"/>
  <c r="F386"/>
  <c r="E14" i="205" l="1"/>
  <c r="F15"/>
  <c r="G316" i="154"/>
  <c r="G248"/>
  <c r="F240"/>
  <c r="F268"/>
  <c r="F265"/>
  <c r="F262"/>
  <c r="F251"/>
  <c r="F358" i="155"/>
  <c r="F357" s="1"/>
  <c r="F356" s="1"/>
  <c r="G358"/>
  <c r="G357" s="1"/>
  <c r="G356" s="1"/>
  <c r="E358"/>
  <c r="E357" s="1"/>
  <c r="E356" s="1"/>
  <c r="F355"/>
  <c r="F354" s="1"/>
  <c r="F353" s="1"/>
  <c r="G355"/>
  <c r="G354" s="1"/>
  <c r="G353" s="1"/>
  <c r="E355"/>
  <c r="E354" s="1"/>
  <c r="E353" s="1"/>
  <c r="F352"/>
  <c r="F351" s="1"/>
  <c r="F350" s="1"/>
  <c r="G352"/>
  <c r="G351" s="1"/>
  <c r="G350" s="1"/>
  <c r="E352"/>
  <c r="E351" s="1"/>
  <c r="E350" s="1"/>
  <c r="F349"/>
  <c r="F348" s="1"/>
  <c r="F347" s="1"/>
  <c r="G349"/>
  <c r="G348" s="1"/>
  <c r="G347" s="1"/>
  <c r="E349"/>
  <c r="E348" s="1"/>
  <c r="E347" s="1"/>
  <c r="H279" i="154"/>
  <c r="H278" s="1"/>
  <c r="G279"/>
  <c r="G278" s="1"/>
  <c r="F279"/>
  <c r="F278" s="1"/>
  <c r="H276"/>
  <c r="H275" s="1"/>
  <c r="G276"/>
  <c r="G275" s="1"/>
  <c r="F276"/>
  <c r="F275" s="1"/>
  <c r="G273"/>
  <c r="G272" s="1"/>
  <c r="H273"/>
  <c r="H272" s="1"/>
  <c r="F273"/>
  <c r="F272" s="1"/>
  <c r="G270"/>
  <c r="G269" s="1"/>
  <c r="H270"/>
  <c r="H269" s="1"/>
  <c r="F270"/>
  <c r="F269" s="1"/>
  <c r="F596" i="155"/>
  <c r="F595" s="1"/>
  <c r="F594" s="1"/>
  <c r="F593" s="1"/>
  <c r="G596"/>
  <c r="G595" s="1"/>
  <c r="G594" s="1"/>
  <c r="G593" s="1"/>
  <c r="E596"/>
  <c r="E595" s="1"/>
  <c r="E594" s="1"/>
  <c r="E593" s="1"/>
  <c r="G400" i="154"/>
  <c r="G399" s="1"/>
  <c r="G398" s="1"/>
  <c r="G397" s="1"/>
  <c r="H400"/>
  <c r="H399" s="1"/>
  <c r="H398" s="1"/>
  <c r="H397" s="1"/>
  <c r="F400"/>
  <c r="F399" s="1"/>
  <c r="F398" s="1"/>
  <c r="F397" s="1"/>
  <c r="F203"/>
  <c r="F612"/>
  <c r="F606"/>
  <c r="F574"/>
  <c r="F585"/>
  <c r="F871" i="155"/>
  <c r="F870" s="1"/>
  <c r="F869" s="1"/>
  <c r="G871"/>
  <c r="G870" s="1"/>
  <c r="G869" s="1"/>
  <c r="E871"/>
  <c r="E870" s="1"/>
  <c r="E869" s="1"/>
  <c r="G621" i="154"/>
  <c r="G620" s="1"/>
  <c r="G619" s="1"/>
  <c r="H621"/>
  <c r="H620" s="1"/>
  <c r="H619" s="1"/>
  <c r="F621"/>
  <c r="F620" s="1"/>
  <c r="F619" s="1"/>
  <c r="F372"/>
  <c r="F379"/>
  <c r="F913"/>
  <c r="F909"/>
  <c r="F905"/>
  <c r="F824"/>
  <c r="F414"/>
  <c r="F408"/>
  <c r="F855"/>
  <c r="F852"/>
  <c r="F799"/>
  <c r="F845"/>
  <c r="F887"/>
  <c r="E561" i="155" s="1"/>
  <c r="E560" s="1"/>
  <c r="E559" s="1"/>
  <c r="F934" i="154"/>
  <c r="F933" s="1"/>
  <c r="F932" s="1"/>
  <c r="F884"/>
  <c r="F842"/>
  <c r="F866"/>
  <c r="F970"/>
  <c r="F356"/>
  <c r="F393"/>
  <c r="F396"/>
  <c r="H928"/>
  <c r="G928"/>
  <c r="F928"/>
  <c r="H925"/>
  <c r="G925"/>
  <c r="F802"/>
  <c r="F801" s="1"/>
  <c r="F800" s="1"/>
  <c r="F444" i="155"/>
  <c r="F443" s="1"/>
  <c r="F442" s="1"/>
  <c r="G444"/>
  <c r="G443" s="1"/>
  <c r="G442" s="1"/>
  <c r="G802" i="154"/>
  <c r="G801" s="1"/>
  <c r="G800" s="1"/>
  <c r="H802"/>
  <c r="H801" s="1"/>
  <c r="H800" s="1"/>
  <c r="F612" i="155"/>
  <c r="G612"/>
  <c r="G933" i="154"/>
  <c r="G932" s="1"/>
  <c r="H933"/>
  <c r="H932" s="1"/>
  <c r="F561" i="155"/>
  <c r="F560" s="1"/>
  <c r="F559" s="1"/>
  <c r="G561"/>
  <c r="G560" s="1"/>
  <c r="G559" s="1"/>
  <c r="G886" i="154"/>
  <c r="G885" s="1"/>
  <c r="H886"/>
  <c r="H885" s="1"/>
  <c r="F839"/>
  <c r="F793"/>
  <c r="F918"/>
  <c r="F645"/>
  <c r="F79" i="155"/>
  <c r="F78" s="1"/>
  <c r="F77" s="1"/>
  <c r="G79"/>
  <c r="F612" i="147" s="1"/>
  <c r="F611" s="1"/>
  <c r="F610" s="1"/>
  <c r="E79" i="155"/>
  <c r="E78" s="1"/>
  <c r="E77" s="1"/>
  <c r="G783" i="154"/>
  <c r="G782" s="1"/>
  <c r="H783"/>
  <c r="H782" s="1"/>
  <c r="F783"/>
  <c r="F782" s="1"/>
  <c r="F48" i="155"/>
  <c r="F47" s="1"/>
  <c r="F46" s="1"/>
  <c r="G48"/>
  <c r="G47" s="1"/>
  <c r="G46" s="1"/>
  <c r="E48"/>
  <c r="E47" s="1"/>
  <c r="E46" s="1"/>
  <c r="G31" i="154"/>
  <c r="G30" s="1"/>
  <c r="H31"/>
  <c r="H30" s="1"/>
  <c r="F31"/>
  <c r="F30" s="1"/>
  <c r="F66" i="155"/>
  <c r="F65" s="1"/>
  <c r="F64" s="1"/>
  <c r="G66"/>
  <c r="G65" s="1"/>
  <c r="G64" s="1"/>
  <c r="E66"/>
  <c r="E65" s="1"/>
  <c r="E64" s="1"/>
  <c r="H658" i="154"/>
  <c r="H657" s="1"/>
  <c r="G658"/>
  <c r="G657" s="1"/>
  <c r="F658"/>
  <c r="F657" s="1"/>
  <c r="F186" i="155"/>
  <c r="F185" s="1"/>
  <c r="F184" s="1"/>
  <c r="G186"/>
  <c r="G185" s="1"/>
  <c r="G184" s="1"/>
  <c r="E186"/>
  <c r="E185" s="1"/>
  <c r="E184" s="1"/>
  <c r="G710" i="154"/>
  <c r="G709" s="1"/>
  <c r="H710"/>
  <c r="H709" s="1"/>
  <c r="F710"/>
  <c r="F709" s="1"/>
  <c r="F33" i="155"/>
  <c r="F32" s="1"/>
  <c r="F31" s="1"/>
  <c r="G33"/>
  <c r="G32" s="1"/>
  <c r="G31" s="1"/>
  <c r="E33"/>
  <c r="E32" s="1"/>
  <c r="E31" s="1"/>
  <c r="G768" i="154"/>
  <c r="G767" s="1"/>
  <c r="H768"/>
  <c r="H767" s="1"/>
  <c r="F768"/>
  <c r="F767" s="1"/>
  <c r="F694" i="155"/>
  <c r="F693" s="1"/>
  <c r="F692" s="1"/>
  <c r="G694"/>
  <c r="G693" s="1"/>
  <c r="G692" s="1"/>
  <c r="E694"/>
  <c r="E693" s="1"/>
  <c r="E692" s="1"/>
  <c r="G980" i="154"/>
  <c r="G979" s="1"/>
  <c r="H980"/>
  <c r="H979" s="1"/>
  <c r="F980"/>
  <c r="F979" s="1"/>
  <c r="E18" i="205" l="1"/>
  <c r="F14"/>
  <c r="F18" s="1"/>
  <c r="E317" i="147"/>
  <c r="E316" s="1"/>
  <c r="E315" s="1"/>
  <c r="F326"/>
  <c r="F325" s="1"/>
  <c r="F324" s="1"/>
  <c r="F323"/>
  <c r="F322" s="1"/>
  <c r="F321" s="1"/>
  <c r="F317"/>
  <c r="F316" s="1"/>
  <c r="F315" s="1"/>
  <c r="D326"/>
  <c r="D325" s="1"/>
  <c r="D324" s="1"/>
  <c r="D317"/>
  <c r="D316" s="1"/>
  <c r="D315" s="1"/>
  <c r="E323"/>
  <c r="E322" s="1"/>
  <c r="E321" s="1"/>
  <c r="D323"/>
  <c r="D322" s="1"/>
  <c r="D321" s="1"/>
  <c r="E320"/>
  <c r="E319" s="1"/>
  <c r="E318" s="1"/>
  <c r="F320"/>
  <c r="F319" s="1"/>
  <c r="F318" s="1"/>
  <c r="D320"/>
  <c r="D319" s="1"/>
  <c r="D318" s="1"/>
  <c r="E326"/>
  <c r="E325" s="1"/>
  <c r="E324" s="1"/>
  <c r="D444"/>
  <c r="D443" s="1"/>
  <c r="D442" s="1"/>
  <c r="E444"/>
  <c r="E443" s="1"/>
  <c r="E442" s="1"/>
  <c r="F444"/>
  <c r="F443" s="1"/>
  <c r="F442" s="1"/>
  <c r="E444" i="155"/>
  <c r="E443" s="1"/>
  <c r="E442" s="1"/>
  <c r="F886" i="154"/>
  <c r="F885" s="1"/>
  <c r="E612" i="155"/>
  <c r="D122" i="147" s="1"/>
  <c r="F122"/>
  <c r="E122"/>
  <c r="G78" i="155"/>
  <c r="G77" s="1"/>
  <c r="D612" i="147"/>
  <c r="D611" s="1"/>
  <c r="D610" s="1"/>
  <c r="E612"/>
  <c r="E611" s="1"/>
  <c r="E610" s="1"/>
  <c r="E588"/>
  <c r="E587" s="1"/>
  <c r="E586" s="1"/>
  <c r="F588"/>
  <c r="F587" s="1"/>
  <c r="F586" s="1"/>
  <c r="D588"/>
  <c r="D587" s="1"/>
  <c r="D586" s="1"/>
  <c r="D573"/>
  <c r="D572" s="1"/>
  <c r="D571" s="1"/>
  <c r="E573"/>
  <c r="E572" s="1"/>
  <c r="E571" s="1"/>
  <c r="F573"/>
  <c r="F572" s="1"/>
  <c r="F571" s="1"/>
  <c r="F507" i="155" l="1"/>
  <c r="G507"/>
  <c r="E507"/>
  <c r="G506" l="1"/>
  <c r="G505" s="1"/>
  <c r="F506"/>
  <c r="F505" s="1"/>
  <c r="E506"/>
  <c r="E505" s="1"/>
  <c r="H844" i="154"/>
  <c r="H843" s="1"/>
  <c r="G844"/>
  <c r="G843" s="1"/>
  <c r="F844"/>
  <c r="F843" s="1"/>
  <c r="F440" i="155"/>
  <c r="G440"/>
  <c r="E440"/>
  <c r="H798" i="154"/>
  <c r="H797" s="1"/>
  <c r="G798"/>
  <c r="G797" s="1"/>
  <c r="F798"/>
  <c r="F797" s="1"/>
  <c r="F862" i="155"/>
  <c r="F861" s="1"/>
  <c r="F860" s="1"/>
  <c r="G862"/>
  <c r="G861" s="1"/>
  <c r="G860" s="1"/>
  <c r="E862"/>
  <c r="E861" s="1"/>
  <c r="E860" s="1"/>
  <c r="G611" i="154"/>
  <c r="G610" s="1"/>
  <c r="H611"/>
  <c r="H610" s="1"/>
  <c r="F611"/>
  <c r="F610" s="1"/>
  <c r="F611" i="155"/>
  <c r="F610" s="1"/>
  <c r="G611"/>
  <c r="G610" s="1"/>
  <c r="E611"/>
  <c r="E610" s="1"/>
  <c r="G413" i="154"/>
  <c r="G412" s="1"/>
  <c r="H413"/>
  <c r="H412" s="1"/>
  <c r="F413"/>
  <c r="F412" s="1"/>
  <c r="F76" i="155"/>
  <c r="E609" i="147" s="1"/>
  <c r="E608" s="1"/>
  <c r="E607" s="1"/>
  <c r="G76" i="155"/>
  <c r="G75" s="1"/>
  <c r="G74" s="1"/>
  <c r="E76"/>
  <c r="E75" s="1"/>
  <c r="E74" s="1"/>
  <c r="F73"/>
  <c r="F72" s="1"/>
  <c r="F71" s="1"/>
  <c r="G73"/>
  <c r="G72" s="1"/>
  <c r="G71" s="1"/>
  <c r="E73"/>
  <c r="E72" s="1"/>
  <c r="E71" s="1"/>
  <c r="E70"/>
  <c r="H755" i="154"/>
  <c r="G70" i="155" s="1"/>
  <c r="G755" i="154"/>
  <c r="F70" i="155" s="1"/>
  <c r="H780" i="154"/>
  <c r="H779" s="1"/>
  <c r="G780"/>
  <c r="G779" s="1"/>
  <c r="F780"/>
  <c r="F779" s="1"/>
  <c r="H777"/>
  <c r="H776" s="1"/>
  <c r="G777"/>
  <c r="G776" s="1"/>
  <c r="F777"/>
  <c r="F776" s="1"/>
  <c r="F144" i="155"/>
  <c r="F143" s="1"/>
  <c r="G144"/>
  <c r="F482" i="147" s="1"/>
  <c r="F481" s="1"/>
  <c r="G775" i="154" l="1"/>
  <c r="F775"/>
  <c r="F774" s="1"/>
  <c r="F773" s="1"/>
  <c r="F772" s="1"/>
  <c r="F771" s="1"/>
  <c r="F770" s="1"/>
  <c r="H775"/>
  <c r="H774" s="1"/>
  <c r="H773" s="1"/>
  <c r="H772" s="1"/>
  <c r="H771" s="1"/>
  <c r="H770" s="1"/>
  <c r="G439" i="155"/>
  <c r="G438" s="1"/>
  <c r="F24" i="147"/>
  <c r="F23" s="1"/>
  <c r="F22" s="1"/>
  <c r="F439" i="155"/>
  <c r="F438" s="1"/>
  <c r="E24" i="147"/>
  <c r="E23" s="1"/>
  <c r="E22" s="1"/>
  <c r="E439" i="155"/>
  <c r="E438" s="1"/>
  <c r="D24" i="147"/>
  <c r="D23" s="1"/>
  <c r="D22" s="1"/>
  <c r="E224"/>
  <c r="E223" s="1"/>
  <c r="E222" s="1"/>
  <c r="F224"/>
  <c r="F223" s="1"/>
  <c r="F222" s="1"/>
  <c r="D224"/>
  <c r="D223" s="1"/>
  <c r="D222" s="1"/>
  <c r="D121"/>
  <c r="D120" s="1"/>
  <c r="E121"/>
  <c r="E120" s="1"/>
  <c r="F121"/>
  <c r="F120" s="1"/>
  <c r="F609"/>
  <c r="F608" s="1"/>
  <c r="F607" s="1"/>
  <c r="F606"/>
  <c r="F605" s="1"/>
  <c r="F604" s="1"/>
  <c r="D609"/>
  <c r="D608" s="1"/>
  <c r="D607" s="1"/>
  <c r="F75" i="155"/>
  <c r="F74" s="1"/>
  <c r="G143"/>
  <c r="D606" i="147"/>
  <c r="D605" s="1"/>
  <c r="D604" s="1"/>
  <c r="E606"/>
  <c r="E605" s="1"/>
  <c r="E604" s="1"/>
  <c r="E482"/>
  <c r="E481" s="1"/>
  <c r="G774" i="154"/>
  <c r="G773" s="1"/>
  <c r="G772" s="1"/>
  <c r="G771" s="1"/>
  <c r="G770" s="1"/>
  <c r="F689" l="1"/>
  <c r="G688"/>
  <c r="H688"/>
  <c r="F28" i="155"/>
  <c r="F27" s="1"/>
  <c r="G28"/>
  <c r="G27" s="1"/>
  <c r="F30"/>
  <c r="F29" s="1"/>
  <c r="G30"/>
  <c r="G29" s="1"/>
  <c r="E28"/>
  <c r="E27" s="1"/>
  <c r="E30"/>
  <c r="D570" i="147" s="1"/>
  <c r="D569" s="1"/>
  <c r="F688" i="154" l="1"/>
  <c r="E144" i="155"/>
  <c r="E570" i="147"/>
  <c r="E569" s="1"/>
  <c r="E29" i="155"/>
  <c r="E26" s="1"/>
  <c r="F568" i="147"/>
  <c r="F567" s="1"/>
  <c r="D568"/>
  <c r="D567" s="1"/>
  <c r="D566" s="1"/>
  <c r="E568"/>
  <c r="E567" s="1"/>
  <c r="F570"/>
  <c r="F569" s="1"/>
  <c r="F26" i="155"/>
  <c r="G26"/>
  <c r="D482" i="147" l="1"/>
  <c r="D481" s="1"/>
  <c r="E143" i="155"/>
  <c r="E566" i="147"/>
  <c r="F566"/>
  <c r="F295" i="155" l="1"/>
  <c r="F294" s="1"/>
  <c r="G295"/>
  <c r="G294" s="1"/>
  <c r="E295"/>
  <c r="D421" i="147" s="1"/>
  <c r="D420" s="1"/>
  <c r="G219" i="154"/>
  <c r="H219"/>
  <c r="F219"/>
  <c r="F217"/>
  <c r="F408" i="155"/>
  <c r="F407" s="1"/>
  <c r="F406" s="1"/>
  <c r="F405" s="1"/>
  <c r="G408"/>
  <c r="G407" s="1"/>
  <c r="G406" s="1"/>
  <c r="G405" s="1"/>
  <c r="E408"/>
  <c r="D357" i="147" s="1"/>
  <c r="D356" s="1"/>
  <c r="D355" s="1"/>
  <c r="D354" s="1"/>
  <c r="G329" i="154"/>
  <c r="G328" s="1"/>
  <c r="G327" s="1"/>
  <c r="H329"/>
  <c r="H328" s="1"/>
  <c r="H327" s="1"/>
  <c r="F329"/>
  <c r="F328" s="1"/>
  <c r="F327" s="1"/>
  <c r="F287"/>
  <c r="F319"/>
  <c r="F293" i="155"/>
  <c r="E419" i="147" s="1"/>
  <c r="E418" s="1"/>
  <c r="E417" s="1"/>
  <c r="G293" i="155"/>
  <c r="G292" s="1"/>
  <c r="G217" i="154"/>
  <c r="G216" s="1"/>
  <c r="H217"/>
  <c r="F167"/>
  <c r="F180"/>
  <c r="F696"/>
  <c r="F216" l="1"/>
  <c r="F215" s="1"/>
  <c r="E293" i="155"/>
  <c r="E292" s="1"/>
  <c r="E291" s="1"/>
  <c r="E290" s="1"/>
  <c r="H216" i="154"/>
  <c r="H215" s="1"/>
  <c r="G291" i="155"/>
  <c r="G290" s="1"/>
  <c r="E294"/>
  <c r="E421" i="147"/>
  <c r="E420" s="1"/>
  <c r="E416" s="1"/>
  <c r="F421"/>
  <c r="F420" s="1"/>
  <c r="G215" i="154"/>
  <c r="E357" i="147"/>
  <c r="E356" s="1"/>
  <c r="E355" s="1"/>
  <c r="E354" s="1"/>
  <c r="E407" i="155"/>
  <c r="E406" s="1"/>
  <c r="E405" s="1"/>
  <c r="F357" i="147"/>
  <c r="F356" s="1"/>
  <c r="F355" s="1"/>
  <c r="F354" s="1"/>
  <c r="F292" i="155"/>
  <c r="F419" i="147"/>
  <c r="F418" s="1"/>
  <c r="F417" s="1"/>
  <c r="F416" s="1"/>
  <c r="D419" l="1"/>
  <c r="D418" s="1"/>
  <c r="D417" s="1"/>
  <c r="D416" s="1"/>
  <c r="F291" i="155"/>
  <c r="F290" s="1"/>
  <c r="H744" i="154" l="1"/>
  <c r="G744"/>
  <c r="H746"/>
  <c r="G746"/>
  <c r="G765"/>
  <c r="H765"/>
  <c r="G763"/>
  <c r="H763"/>
  <c r="F765"/>
  <c r="F763"/>
  <c r="F477" i="155"/>
  <c r="F476" s="1"/>
  <c r="G477"/>
  <c r="G476" s="1"/>
  <c r="E477"/>
  <c r="D451" i="147" s="1"/>
  <c r="D450" s="1"/>
  <c r="G375" i="154"/>
  <c r="G374" s="1"/>
  <c r="H375"/>
  <c r="H374" s="1"/>
  <c r="F375"/>
  <c r="F374" s="1"/>
  <c r="G670"/>
  <c r="G669" s="1"/>
  <c r="G668" s="1"/>
  <c r="G667" s="1"/>
  <c r="G666" s="1"/>
  <c r="H670"/>
  <c r="H669" s="1"/>
  <c r="H668" s="1"/>
  <c r="H667" s="1"/>
  <c r="H666" s="1"/>
  <c r="F670"/>
  <c r="F669" s="1"/>
  <c r="F668" s="1"/>
  <c r="F667" s="1"/>
  <c r="F666" s="1"/>
  <c r="F151" i="155"/>
  <c r="G151"/>
  <c r="E151"/>
  <c r="G95" i="154"/>
  <c r="G94" s="1"/>
  <c r="G93" s="1"/>
  <c r="G92" s="1"/>
  <c r="G91" s="1"/>
  <c r="H95"/>
  <c r="H94" s="1"/>
  <c r="H93" s="1"/>
  <c r="H92" s="1"/>
  <c r="H91" s="1"/>
  <c r="F95"/>
  <c r="F389" i="155"/>
  <c r="F388" s="1"/>
  <c r="F387" s="1"/>
  <c r="F386" s="1"/>
  <c r="G389"/>
  <c r="G388" s="1"/>
  <c r="G387" s="1"/>
  <c r="G386" s="1"/>
  <c r="E389"/>
  <c r="E388" s="1"/>
  <c r="E387" s="1"/>
  <c r="E386" s="1"/>
  <c r="G310" i="154"/>
  <c r="G309" s="1"/>
  <c r="G308" s="1"/>
  <c r="H310"/>
  <c r="H309" s="1"/>
  <c r="H308" s="1"/>
  <c r="F310"/>
  <c r="F309" s="1"/>
  <c r="F308" s="1"/>
  <c r="F70"/>
  <c r="F389"/>
  <c r="F94" l="1"/>
  <c r="F93" s="1"/>
  <c r="F92" s="1"/>
  <c r="F91" s="1"/>
  <c r="F762"/>
  <c r="F761" s="1"/>
  <c r="E451" i="147"/>
  <c r="E450" s="1"/>
  <c r="G762" i="154"/>
  <c r="H762"/>
  <c r="F451" i="147"/>
  <c r="F450" s="1"/>
  <c r="E476" i="155"/>
  <c r="D365" i="147"/>
  <c r="D364" s="1"/>
  <c r="D363" s="1"/>
  <c r="D362" s="1"/>
  <c r="E365"/>
  <c r="E364" s="1"/>
  <c r="E363" s="1"/>
  <c r="E362" s="1"/>
  <c r="F365"/>
  <c r="F364" s="1"/>
  <c r="F363" s="1"/>
  <c r="F362" s="1"/>
  <c r="F813" i="154"/>
  <c r="F812" s="1"/>
  <c r="F811" s="1"/>
  <c r="F616" i="155"/>
  <c r="F615" s="1"/>
  <c r="F614" s="1"/>
  <c r="G616"/>
  <c r="G615" s="1"/>
  <c r="G614" s="1"/>
  <c r="E616"/>
  <c r="E615" s="1"/>
  <c r="E614" s="1"/>
  <c r="F464"/>
  <c r="E78" i="147" s="1"/>
  <c r="E77" s="1"/>
  <c r="E76" s="1"/>
  <c r="G464" i="155"/>
  <c r="G463" s="1"/>
  <c r="G462" s="1"/>
  <c r="G813" i="154"/>
  <c r="G812" s="1"/>
  <c r="G811" s="1"/>
  <c r="H813"/>
  <c r="H812" s="1"/>
  <c r="H811" s="1"/>
  <c r="G937"/>
  <c r="G936" s="1"/>
  <c r="G935" s="1"/>
  <c r="H937"/>
  <c r="H936" s="1"/>
  <c r="H935" s="1"/>
  <c r="F937"/>
  <c r="F936" s="1"/>
  <c r="F935" s="1"/>
  <c r="F944"/>
  <c r="F948"/>
  <c r="F533" i="155"/>
  <c r="F532" s="1"/>
  <c r="F531" s="1"/>
  <c r="G533"/>
  <c r="G532" s="1"/>
  <c r="G531" s="1"/>
  <c r="E533"/>
  <c r="E532" s="1"/>
  <c r="E531" s="1"/>
  <c r="G865" i="154"/>
  <c r="G864" s="1"/>
  <c r="H865"/>
  <c r="H864" s="1"/>
  <c r="F865"/>
  <c r="F864" s="1"/>
  <c r="F566" i="155"/>
  <c r="F565" s="1"/>
  <c r="F564" s="1"/>
  <c r="G566"/>
  <c r="G565" s="1"/>
  <c r="G564" s="1"/>
  <c r="E566"/>
  <c r="E565" s="1"/>
  <c r="E564" s="1"/>
  <c r="G891" i="154"/>
  <c r="G890" s="1"/>
  <c r="H891"/>
  <c r="H890" s="1"/>
  <c r="F891"/>
  <c r="F890" s="1"/>
  <c r="F899"/>
  <c r="F173" i="155"/>
  <c r="F172" s="1"/>
  <c r="G173"/>
  <c r="G172" s="1"/>
  <c r="E173"/>
  <c r="D543" i="147" s="1"/>
  <c r="D542" s="1"/>
  <c r="G700" i="154"/>
  <c r="H700"/>
  <c r="F700"/>
  <c r="D545" i="147"/>
  <c r="F523" i="155"/>
  <c r="G523"/>
  <c r="E523"/>
  <c r="G858" i="154"/>
  <c r="G857" s="1"/>
  <c r="H858"/>
  <c r="H857" s="1"/>
  <c r="F858"/>
  <c r="F857" s="1"/>
  <c r="F377" i="155"/>
  <c r="F376" s="1"/>
  <c r="F375" s="1"/>
  <c r="G377"/>
  <c r="G376" s="1"/>
  <c r="G375" s="1"/>
  <c r="E377"/>
  <c r="E376" s="1"/>
  <c r="E375" s="1"/>
  <c r="G298" i="154"/>
  <c r="G297" s="1"/>
  <c r="H298"/>
  <c r="H297" s="1"/>
  <c r="F298"/>
  <c r="F297" s="1"/>
  <c r="F536" i="155"/>
  <c r="F535" s="1"/>
  <c r="F534" s="1"/>
  <c r="G536"/>
  <c r="G535" s="1"/>
  <c r="G534" s="1"/>
  <c r="E536"/>
  <c r="E535" s="1"/>
  <c r="E534" s="1"/>
  <c r="G868" i="154"/>
  <c r="G867" s="1"/>
  <c r="H868"/>
  <c r="H867" s="1"/>
  <c r="F868"/>
  <c r="F867" s="1"/>
  <c r="F418"/>
  <c r="F485"/>
  <c r="F735"/>
  <c r="E46" i="147" l="1"/>
  <c r="E45" s="1"/>
  <c r="F46"/>
  <c r="F45" s="1"/>
  <c r="D46"/>
  <c r="D45" s="1"/>
  <c r="F760" i="154"/>
  <c r="F759" s="1"/>
  <c r="F758" s="1"/>
  <c r="F757" s="1"/>
  <c r="F756" s="1"/>
  <c r="G761"/>
  <c r="G760" s="1"/>
  <c r="G759" s="1"/>
  <c r="G758" s="1"/>
  <c r="G757" s="1"/>
  <c r="G756" s="1"/>
  <c r="H761"/>
  <c r="H760" s="1"/>
  <c r="H759" s="1"/>
  <c r="H758" s="1"/>
  <c r="H757" s="1"/>
  <c r="H756" s="1"/>
  <c r="F863"/>
  <c r="G863"/>
  <c r="F530" i="155"/>
  <c r="G530"/>
  <c r="E126" i="147"/>
  <c r="E125" s="1"/>
  <c r="E124" s="1"/>
  <c r="E464" i="155"/>
  <c r="E463" s="1"/>
  <c r="E462" s="1"/>
  <c r="D126" i="147"/>
  <c r="D125" s="1"/>
  <c r="D124" s="1"/>
  <c r="F126"/>
  <c r="F125" s="1"/>
  <c r="F124" s="1"/>
  <c r="F78"/>
  <c r="F77" s="1"/>
  <c r="F76" s="1"/>
  <c r="F463" i="155"/>
  <c r="F462" s="1"/>
  <c r="H863" i="154"/>
  <c r="F85" i="147"/>
  <c r="F84" s="1"/>
  <c r="F83" s="1"/>
  <c r="D85"/>
  <c r="D84" s="1"/>
  <c r="D83" s="1"/>
  <c r="E530" i="155"/>
  <c r="E85" i="147"/>
  <c r="E84" s="1"/>
  <c r="E83" s="1"/>
  <c r="D137"/>
  <c r="D136" s="1"/>
  <c r="D135" s="1"/>
  <c r="E137"/>
  <c r="E136" s="1"/>
  <c r="E135" s="1"/>
  <c r="F137"/>
  <c r="F136" s="1"/>
  <c r="F135" s="1"/>
  <c r="E543"/>
  <c r="E542" s="1"/>
  <c r="F543"/>
  <c r="F542" s="1"/>
  <c r="E172" i="155"/>
  <c r="F522"/>
  <c r="G522"/>
  <c r="E522"/>
  <c r="E345" i="147"/>
  <c r="E344" s="1"/>
  <c r="E343" s="1"/>
  <c r="F345"/>
  <c r="F344" s="1"/>
  <c r="F343" s="1"/>
  <c r="D345"/>
  <c r="D344" s="1"/>
  <c r="D343" s="1"/>
  <c r="D88"/>
  <c r="D87" s="1"/>
  <c r="D86" s="1"/>
  <c r="E88"/>
  <c r="E87" s="1"/>
  <c r="E86" s="1"/>
  <c r="F88"/>
  <c r="F87" s="1"/>
  <c r="F86" s="1"/>
  <c r="D78" l="1"/>
  <c r="D77" s="1"/>
  <c r="D76" s="1"/>
  <c r="D82"/>
  <c r="F82"/>
  <c r="E82"/>
  <c r="F304" i="155"/>
  <c r="E530" i="147" s="1"/>
  <c r="E529" s="1"/>
  <c r="G304" i="155"/>
  <c r="F530" i="147" s="1"/>
  <c r="F529" s="1"/>
  <c r="E304" i="155"/>
  <c r="D530" i="147" s="1"/>
  <c r="D529" s="1"/>
  <c r="G228" i="154"/>
  <c r="G227" s="1"/>
  <c r="G226" s="1"/>
  <c r="H228"/>
  <c r="H227" s="1"/>
  <c r="H226" s="1"/>
  <c r="F228"/>
  <c r="F227" s="1"/>
  <c r="F226" s="1"/>
  <c r="F174" i="155"/>
  <c r="F545" i="147"/>
  <c r="E174" i="155"/>
  <c r="G702" i="154"/>
  <c r="H702"/>
  <c r="F702"/>
  <c r="F371" i="155"/>
  <c r="F370" s="1"/>
  <c r="F369" s="1"/>
  <c r="G371"/>
  <c r="F339" i="147" s="1"/>
  <c r="F338" s="1"/>
  <c r="F337" s="1"/>
  <c r="E371" i="155"/>
  <c r="E370" s="1"/>
  <c r="E369" s="1"/>
  <c r="G292" i="154"/>
  <c r="G291" s="1"/>
  <c r="H292"/>
  <c r="H291" s="1"/>
  <c r="F292"/>
  <c r="F291" s="1"/>
  <c r="G699" l="1"/>
  <c r="G698" s="1"/>
  <c r="H699"/>
  <c r="H698" s="1"/>
  <c r="F699"/>
  <c r="F698" s="1"/>
  <c r="F303" i="155"/>
  <c r="F302" s="1"/>
  <c r="F301" s="1"/>
  <c r="E171"/>
  <c r="E170" s="1"/>
  <c r="F171"/>
  <c r="F170" s="1"/>
  <c r="E303"/>
  <c r="E302" s="1"/>
  <c r="E301" s="1"/>
  <c r="G303"/>
  <c r="G302" s="1"/>
  <c r="G301" s="1"/>
  <c r="E545" i="147"/>
  <c r="G174" i="155"/>
  <c r="D339" i="147"/>
  <c r="D338" s="1"/>
  <c r="D337" s="1"/>
  <c r="E339"/>
  <c r="E338" s="1"/>
  <c r="E337" s="1"/>
  <c r="G370" i="155"/>
  <c r="G369" s="1"/>
  <c r="G171" l="1"/>
  <c r="G170" s="1"/>
  <c r="F224" i="154"/>
  <c r="F303"/>
  <c r="F348"/>
  <c r="F113"/>
  <c r="F549"/>
  <c r="F44" l="1"/>
  <c r="G579"/>
  <c r="G505"/>
  <c r="D22" i="199"/>
  <c r="F619" i="155" l="1"/>
  <c r="F618" s="1"/>
  <c r="F617" s="1"/>
  <c r="F613" s="1"/>
  <c r="G619"/>
  <c r="F129" i="147" s="1"/>
  <c r="F128" s="1"/>
  <c r="F127" s="1"/>
  <c r="F123" s="1"/>
  <c r="E619" i="155"/>
  <c r="E618" s="1"/>
  <c r="E617" s="1"/>
  <c r="E613" s="1"/>
  <c r="G417" i="154"/>
  <c r="G416" s="1"/>
  <c r="G415" s="1"/>
  <c r="H417"/>
  <c r="H416" s="1"/>
  <c r="H415" s="1"/>
  <c r="F417"/>
  <c r="F416" s="1"/>
  <c r="F415" s="1"/>
  <c r="F731" i="155"/>
  <c r="G731"/>
  <c r="E731"/>
  <c r="G500" i="154"/>
  <c r="G499" s="1"/>
  <c r="G498" s="1"/>
  <c r="H500"/>
  <c r="H499" s="1"/>
  <c r="H498" s="1"/>
  <c r="F500"/>
  <c r="F499" s="1"/>
  <c r="F498" s="1"/>
  <c r="F240" i="155"/>
  <c r="E393" i="147" s="1"/>
  <c r="E392" s="1"/>
  <c r="E391" s="1"/>
  <c r="G240" i="155"/>
  <c r="G239" s="1"/>
  <c r="G238" s="1"/>
  <c r="E240"/>
  <c r="E239" s="1"/>
  <c r="E238" s="1"/>
  <c r="G176" i="154"/>
  <c r="G175" s="1"/>
  <c r="H176"/>
  <c r="H175" s="1"/>
  <c r="F176"/>
  <c r="F175" s="1"/>
  <c r="F266" i="155"/>
  <c r="F265" s="1"/>
  <c r="F264" s="1"/>
  <c r="F263" s="1"/>
  <c r="F262" s="1"/>
  <c r="G266"/>
  <c r="G265" s="1"/>
  <c r="G264" s="1"/>
  <c r="G263" s="1"/>
  <c r="G262" s="1"/>
  <c r="E266"/>
  <c r="E265" s="1"/>
  <c r="E264" s="1"/>
  <c r="E263" s="1"/>
  <c r="E262" s="1"/>
  <c r="G202" i="154"/>
  <c r="G201" s="1"/>
  <c r="G200" s="1"/>
  <c r="G199" s="1"/>
  <c r="H202"/>
  <c r="H201" s="1"/>
  <c r="H200" s="1"/>
  <c r="H199" s="1"/>
  <c r="F202"/>
  <c r="F201" s="1"/>
  <c r="F200" s="1"/>
  <c r="F199" s="1"/>
  <c r="F453" i="155"/>
  <c r="F452" s="1"/>
  <c r="F451" s="1"/>
  <c r="G453"/>
  <c r="G452" s="1"/>
  <c r="G451" s="1"/>
  <c r="E453"/>
  <c r="E452" s="1"/>
  <c r="E451" s="1"/>
  <c r="G361" i="154"/>
  <c r="G360" s="1"/>
  <c r="H361"/>
  <c r="H360" s="1"/>
  <c r="F361"/>
  <c r="F360" s="1"/>
  <c r="F866" i="155"/>
  <c r="F865" s="1"/>
  <c r="F864" s="1"/>
  <c r="F863" s="1"/>
  <c r="G866"/>
  <c r="F228" i="147" s="1"/>
  <c r="F227" s="1"/>
  <c r="F226" s="1"/>
  <c r="F225" s="1"/>
  <c r="G615" i="154"/>
  <c r="G614" s="1"/>
  <c r="G613" s="1"/>
  <c r="H615"/>
  <c r="H614" s="1"/>
  <c r="H613" s="1"/>
  <c r="F616"/>
  <c r="E866" i="155" s="1"/>
  <c r="E865" s="1"/>
  <c r="E864" s="1"/>
  <c r="E863" s="1"/>
  <c r="G618" l="1"/>
  <c r="G617" s="1"/>
  <c r="G613" s="1"/>
  <c r="E129" i="147"/>
  <c r="E128" s="1"/>
  <c r="E127" s="1"/>
  <c r="E123" s="1"/>
  <c r="F730" i="155"/>
  <c r="F729" s="1"/>
  <c r="F728" s="1"/>
  <c r="E183" i="147"/>
  <c r="E182" s="1"/>
  <c r="E181" s="1"/>
  <c r="E180" s="1"/>
  <c r="G730" i="155"/>
  <c r="G729" s="1"/>
  <c r="G728" s="1"/>
  <c r="F183" i="147"/>
  <c r="F182" s="1"/>
  <c r="F181" s="1"/>
  <c r="F180" s="1"/>
  <c r="D129"/>
  <c r="D128" s="1"/>
  <c r="D127" s="1"/>
  <c r="D123" s="1"/>
  <c r="E730" i="155"/>
  <c r="E729" s="1"/>
  <c r="E728" s="1"/>
  <c r="D183" i="147"/>
  <c r="D182" s="1"/>
  <c r="D181" s="1"/>
  <c r="D180" s="1"/>
  <c r="F615" i="154"/>
  <c r="F614" s="1"/>
  <c r="F613" s="1"/>
  <c r="D393" i="147"/>
  <c r="D392" s="1"/>
  <c r="D391" s="1"/>
  <c r="F239" i="155"/>
  <c r="F238" s="1"/>
  <c r="F393" i="147"/>
  <c r="F392" s="1"/>
  <c r="F391" s="1"/>
  <c r="D546"/>
  <c r="E546"/>
  <c r="F546"/>
  <c r="D61"/>
  <c r="D60" s="1"/>
  <c r="D59" s="1"/>
  <c r="E61"/>
  <c r="E60" s="1"/>
  <c r="E59" s="1"/>
  <c r="F61"/>
  <c r="F60" s="1"/>
  <c r="F59" s="1"/>
  <c r="D228"/>
  <c r="D227" s="1"/>
  <c r="D226" s="1"/>
  <c r="D225" s="1"/>
  <c r="E228"/>
  <c r="E227" s="1"/>
  <c r="E226" s="1"/>
  <c r="E225" s="1"/>
  <c r="G865" i="155"/>
  <c r="G864" s="1"/>
  <c r="G863" s="1"/>
  <c r="D544" i="147" l="1"/>
  <c r="D541" s="1"/>
  <c r="E544"/>
  <c r="E541" s="1"/>
  <c r="F544"/>
  <c r="F541" s="1"/>
  <c r="F708" i="154"/>
  <c r="F654"/>
  <c r="H287"/>
  <c r="G287"/>
  <c r="F198"/>
  <c r="H195"/>
  <c r="G195"/>
  <c r="F195"/>
  <c r="H170"/>
  <c r="G170"/>
  <c r="F170"/>
  <c r="F592" i="155" l="1"/>
  <c r="F591" s="1"/>
  <c r="F590" s="1"/>
  <c r="F589" s="1"/>
  <c r="F588" s="1"/>
  <c r="G592"/>
  <c r="G591" s="1"/>
  <c r="G590" s="1"/>
  <c r="G589" s="1"/>
  <c r="G588" s="1"/>
  <c r="E592"/>
  <c r="E591" s="1"/>
  <c r="E590" s="1"/>
  <c r="E589" s="1"/>
  <c r="E588" s="1"/>
  <c r="G917" i="154"/>
  <c r="G916" s="1"/>
  <c r="G915" s="1"/>
  <c r="G914" s="1"/>
  <c r="H917"/>
  <c r="H916" s="1"/>
  <c r="H915" s="1"/>
  <c r="H914" s="1"/>
  <c r="F917"/>
  <c r="F916" s="1"/>
  <c r="F915" s="1"/>
  <c r="F914" s="1"/>
  <c r="E536" i="147" l="1"/>
  <c r="E535" s="1"/>
  <c r="E534" s="1"/>
  <c r="E533" s="1"/>
  <c r="F536"/>
  <c r="F535" s="1"/>
  <c r="F534" s="1"/>
  <c r="F533" s="1"/>
  <c r="D536"/>
  <c r="D535" s="1"/>
  <c r="D534" s="1"/>
  <c r="D533" s="1"/>
  <c r="F450" i="155"/>
  <c r="F449" s="1"/>
  <c r="F448" s="1"/>
  <c r="G450"/>
  <c r="F58" i="147" s="1"/>
  <c r="F57" s="1"/>
  <c r="F56" s="1"/>
  <c r="E58" l="1"/>
  <c r="E57" s="1"/>
  <c r="E56" s="1"/>
  <c r="G449" i="155"/>
  <c r="G448" s="1"/>
  <c r="H855" i="154"/>
  <c r="H849"/>
  <c r="F553" i="155"/>
  <c r="E105" i="147" s="1"/>
  <c r="E104" s="1"/>
  <c r="E103" s="1"/>
  <c r="G553" i="155"/>
  <c r="F105" i="147" s="1"/>
  <c r="F104" s="1"/>
  <c r="F103" s="1"/>
  <c r="E553" i="155"/>
  <c r="D105" i="147" s="1"/>
  <c r="D104" s="1"/>
  <c r="D103" s="1"/>
  <c r="G878" i="154"/>
  <c r="G877" s="1"/>
  <c r="H878"/>
  <c r="H877" s="1"/>
  <c r="F878"/>
  <c r="F877" s="1"/>
  <c r="F547" i="155"/>
  <c r="F546" s="1"/>
  <c r="F545" s="1"/>
  <c r="G547"/>
  <c r="G546" s="1"/>
  <c r="G545" s="1"/>
  <c r="E547"/>
  <c r="E546" s="1"/>
  <c r="E545" s="1"/>
  <c r="G872" i="154"/>
  <c r="G871" s="1"/>
  <c r="H872"/>
  <c r="H871" s="1"/>
  <c r="F872"/>
  <c r="F871" s="1"/>
  <c r="F334" i="155"/>
  <c r="F333" s="1"/>
  <c r="F332" s="1"/>
  <c r="G334"/>
  <c r="G333" s="1"/>
  <c r="G332" s="1"/>
  <c r="E334"/>
  <c r="E333" s="1"/>
  <c r="E332" s="1"/>
  <c r="F337"/>
  <c r="F336" s="1"/>
  <c r="F335" s="1"/>
  <c r="G337"/>
  <c r="G336" s="1"/>
  <c r="G335" s="1"/>
  <c r="E337"/>
  <c r="E336" s="1"/>
  <c r="E335" s="1"/>
  <c r="G258" i="154"/>
  <c r="G257" s="1"/>
  <c r="H258"/>
  <c r="H257" s="1"/>
  <c r="F258"/>
  <c r="F257" s="1"/>
  <c r="G255"/>
  <c r="G254" s="1"/>
  <c r="H255"/>
  <c r="H254" s="1"/>
  <c r="F255"/>
  <c r="F254" s="1"/>
  <c r="F505"/>
  <c r="F552" i="155" l="1"/>
  <c r="F551" s="1"/>
  <c r="G552"/>
  <c r="G551" s="1"/>
  <c r="E552"/>
  <c r="E551" s="1"/>
  <c r="D99" i="147"/>
  <c r="D98" s="1"/>
  <c r="D97" s="1"/>
  <c r="E99"/>
  <c r="E98" s="1"/>
  <c r="E97" s="1"/>
  <c r="F99"/>
  <c r="F98" s="1"/>
  <c r="F97" s="1"/>
  <c r="F302"/>
  <c r="F301" s="1"/>
  <c r="F300" s="1"/>
  <c r="D302"/>
  <c r="D301" s="1"/>
  <c r="D300" s="1"/>
  <c r="F305"/>
  <c r="F304" s="1"/>
  <c r="F303" s="1"/>
  <c r="D305"/>
  <c r="D304" s="1"/>
  <c r="D303" s="1"/>
  <c r="E302"/>
  <c r="E301" s="1"/>
  <c r="E300" s="1"/>
  <c r="E305"/>
  <c r="E304" s="1"/>
  <c r="E303" s="1"/>
  <c r="F150" i="155"/>
  <c r="F149" s="1"/>
  <c r="F148" s="1"/>
  <c r="G150"/>
  <c r="G149" s="1"/>
  <c r="G148" s="1"/>
  <c r="E150"/>
  <c r="E149" s="1"/>
  <c r="E148" s="1"/>
  <c r="G695" i="154"/>
  <c r="G694" s="1"/>
  <c r="G693" s="1"/>
  <c r="H695"/>
  <c r="H694" s="1"/>
  <c r="H693" s="1"/>
  <c r="F695"/>
  <c r="F694" s="1"/>
  <c r="F693" s="1"/>
  <c r="F311" i="155"/>
  <c r="F310" s="1"/>
  <c r="F309" s="1"/>
  <c r="G311"/>
  <c r="G310" s="1"/>
  <c r="G309" s="1"/>
  <c r="E311"/>
  <c r="E310" s="1"/>
  <c r="E309" s="1"/>
  <c r="G232" i="154"/>
  <c r="G231" s="1"/>
  <c r="G230" s="1"/>
  <c r="G225" s="1"/>
  <c r="H232"/>
  <c r="H231" s="1"/>
  <c r="H230" s="1"/>
  <c r="H225" s="1"/>
  <c r="F232"/>
  <c r="F231" s="1"/>
  <c r="F230" s="1"/>
  <c r="F225" s="1"/>
  <c r="E499" i="147" l="1"/>
  <c r="E498" s="1"/>
  <c r="E497" s="1"/>
  <c r="E496" s="1"/>
  <c r="F499"/>
  <c r="F498" s="1"/>
  <c r="F497" s="1"/>
  <c r="F496" s="1"/>
  <c r="D499"/>
  <c r="D498" s="1"/>
  <c r="D497" s="1"/>
  <c r="D496" s="1"/>
  <c r="D552"/>
  <c r="D551" s="1"/>
  <c r="D550" s="1"/>
  <c r="E552"/>
  <c r="E551" s="1"/>
  <c r="E550" s="1"/>
  <c r="F552"/>
  <c r="F551" s="1"/>
  <c r="F550" s="1"/>
  <c r="F526" i="155" l="1"/>
  <c r="G526"/>
  <c r="F862" i="154"/>
  <c r="F861" s="1"/>
  <c r="F860" s="1"/>
  <c r="F856" s="1"/>
  <c r="H861"/>
  <c r="H860" s="1"/>
  <c r="H856" s="1"/>
  <c r="G861"/>
  <c r="G860" s="1"/>
  <c r="G856" s="1"/>
  <c r="E526" i="155" l="1"/>
  <c r="D21" i="199" l="1"/>
  <c r="D20" s="1"/>
  <c r="D19" s="1"/>
  <c r="E21"/>
  <c r="E20" s="1"/>
  <c r="E19" s="1"/>
  <c r="C17"/>
  <c r="C16" s="1"/>
  <c r="C15" s="1"/>
  <c r="E17"/>
  <c r="E16" s="1"/>
  <c r="E15" s="1"/>
  <c r="C21"/>
  <c r="C20" s="1"/>
  <c r="C19" s="1"/>
  <c r="D17"/>
  <c r="D16" s="1"/>
  <c r="D15" s="1"/>
  <c r="C14" l="1"/>
  <c r="E14"/>
  <c r="D14"/>
  <c r="F603" i="155" l="1"/>
  <c r="F602" s="1"/>
  <c r="F601" s="1"/>
  <c r="G603"/>
  <c r="G602" s="1"/>
  <c r="G601" s="1"/>
  <c r="E603"/>
  <c r="E602" s="1"/>
  <c r="E601" s="1"/>
  <c r="F891"/>
  <c r="G891"/>
  <c r="E891"/>
  <c r="F850"/>
  <c r="G850"/>
  <c r="E850"/>
  <c r="F801"/>
  <c r="G801"/>
  <c r="E801"/>
  <c r="F808"/>
  <c r="G808"/>
  <c r="E808"/>
  <c r="F812"/>
  <c r="G812"/>
  <c r="E812"/>
  <c r="F816"/>
  <c r="G816"/>
  <c r="F818"/>
  <c r="G818"/>
  <c r="F820"/>
  <c r="G820"/>
  <c r="E816"/>
  <c r="E818"/>
  <c r="E820"/>
  <c r="F823"/>
  <c r="G823"/>
  <c r="F825"/>
  <c r="G825"/>
  <c r="E823"/>
  <c r="E825"/>
  <c r="F829"/>
  <c r="G829"/>
  <c r="E829"/>
  <c r="F835"/>
  <c r="F834" s="1"/>
  <c r="F833" s="1"/>
  <c r="F832" s="1"/>
  <c r="G835"/>
  <c r="G834" s="1"/>
  <c r="G833" s="1"/>
  <c r="G832" s="1"/>
  <c r="E835"/>
  <c r="E834" s="1"/>
  <c r="E833" s="1"/>
  <c r="E832" s="1"/>
  <c r="F839"/>
  <c r="F838" s="1"/>
  <c r="F837" s="1"/>
  <c r="F836" s="1"/>
  <c r="G839"/>
  <c r="G838" s="1"/>
  <c r="G837" s="1"/>
  <c r="G836" s="1"/>
  <c r="F843"/>
  <c r="F842" s="1"/>
  <c r="F841" s="1"/>
  <c r="F840" s="1"/>
  <c r="G843"/>
  <c r="G842" s="1"/>
  <c r="G841" s="1"/>
  <c r="G840" s="1"/>
  <c r="E839"/>
  <c r="E838" s="1"/>
  <c r="E837" s="1"/>
  <c r="E836" s="1"/>
  <c r="E843"/>
  <c r="E842" s="1"/>
  <c r="E841" s="1"/>
  <c r="E840" s="1"/>
  <c r="F856"/>
  <c r="F855" s="1"/>
  <c r="F854" s="1"/>
  <c r="G856"/>
  <c r="G855" s="1"/>
  <c r="G854" s="1"/>
  <c r="E856"/>
  <c r="E855" s="1"/>
  <c r="E854" s="1"/>
  <c r="F875"/>
  <c r="F874" s="1"/>
  <c r="F873" s="1"/>
  <c r="F872" s="1"/>
  <c r="G875"/>
  <c r="G874" s="1"/>
  <c r="G873" s="1"/>
  <c r="G872" s="1"/>
  <c r="F879"/>
  <c r="F878" s="1"/>
  <c r="F877" s="1"/>
  <c r="F876" s="1"/>
  <c r="G879"/>
  <c r="G878" s="1"/>
  <c r="G877" s="1"/>
  <c r="G876" s="1"/>
  <c r="F883"/>
  <c r="F882" s="1"/>
  <c r="F881" s="1"/>
  <c r="F880" s="1"/>
  <c r="G883"/>
  <c r="G882" s="1"/>
  <c r="G881" s="1"/>
  <c r="G880" s="1"/>
  <c r="E875"/>
  <c r="E874" s="1"/>
  <c r="E873" s="1"/>
  <c r="E872" s="1"/>
  <c r="E879"/>
  <c r="E878" s="1"/>
  <c r="E877" s="1"/>
  <c r="E876" s="1"/>
  <c r="E883"/>
  <c r="E882" s="1"/>
  <c r="E881" s="1"/>
  <c r="E880" s="1"/>
  <c r="F793"/>
  <c r="G793"/>
  <c r="E793"/>
  <c r="F779"/>
  <c r="G779"/>
  <c r="F781"/>
  <c r="G781"/>
  <c r="E779"/>
  <c r="E781"/>
  <c r="F757"/>
  <c r="G757"/>
  <c r="F759"/>
  <c r="G759"/>
  <c r="E757"/>
  <c r="E759"/>
  <c r="F766"/>
  <c r="G766"/>
  <c r="E766"/>
  <c r="F770"/>
  <c r="G770"/>
  <c r="F772"/>
  <c r="G772"/>
  <c r="E770"/>
  <c r="E772"/>
  <c r="F787"/>
  <c r="G787"/>
  <c r="E787"/>
  <c r="F702"/>
  <c r="F701" s="1"/>
  <c r="F700" s="1"/>
  <c r="F699" s="1"/>
  <c r="F698" s="1"/>
  <c r="F697" s="1"/>
  <c r="G702"/>
  <c r="G701" s="1"/>
  <c r="G700" s="1"/>
  <c r="G699" s="1"/>
  <c r="G698" s="1"/>
  <c r="G697" s="1"/>
  <c r="E702"/>
  <c r="E701" s="1"/>
  <c r="E700" s="1"/>
  <c r="E699" s="1"/>
  <c r="E698" s="1"/>
  <c r="E697" s="1"/>
  <c r="F708"/>
  <c r="G708"/>
  <c r="E708"/>
  <c r="F715"/>
  <c r="G715"/>
  <c r="E715"/>
  <c r="F720"/>
  <c r="G720"/>
  <c r="E720"/>
  <c r="F727"/>
  <c r="G727"/>
  <c r="E727"/>
  <c r="G735"/>
  <c r="F741"/>
  <c r="F740" s="1"/>
  <c r="F739" s="1"/>
  <c r="F738" s="1"/>
  <c r="G741"/>
  <c r="G740" s="1"/>
  <c r="G739" s="1"/>
  <c r="G738" s="1"/>
  <c r="E741"/>
  <c r="E740" s="1"/>
  <c r="E739" s="1"/>
  <c r="E738" s="1"/>
  <c r="F745"/>
  <c r="F744" s="1"/>
  <c r="F743" s="1"/>
  <c r="F742" s="1"/>
  <c r="G745"/>
  <c r="G744" s="1"/>
  <c r="G743" s="1"/>
  <c r="G742" s="1"/>
  <c r="E745"/>
  <c r="E744" s="1"/>
  <c r="E743" s="1"/>
  <c r="E742" s="1"/>
  <c r="F749"/>
  <c r="F748" s="1"/>
  <c r="F747" s="1"/>
  <c r="F746" s="1"/>
  <c r="G749"/>
  <c r="G748" s="1"/>
  <c r="G747" s="1"/>
  <c r="G746" s="1"/>
  <c r="E749"/>
  <c r="E748" s="1"/>
  <c r="E747" s="1"/>
  <c r="E746" s="1"/>
  <c r="G540"/>
  <c r="G543"/>
  <c r="F521"/>
  <c r="G521"/>
  <c r="F529"/>
  <c r="G529"/>
  <c r="E521"/>
  <c r="F482"/>
  <c r="G482"/>
  <c r="F473"/>
  <c r="G473"/>
  <c r="F467"/>
  <c r="F466" s="1"/>
  <c r="F465" s="1"/>
  <c r="F461" s="1"/>
  <c r="G467"/>
  <c r="G466" s="1"/>
  <c r="G465" s="1"/>
  <c r="G461" s="1"/>
  <c r="F447"/>
  <c r="G447"/>
  <c r="G365" i="154"/>
  <c r="G364" s="1"/>
  <c r="G363" s="1"/>
  <c r="H365"/>
  <c r="H364" s="1"/>
  <c r="H363" s="1"/>
  <c r="F366"/>
  <c r="E467" i="155" s="1"/>
  <c r="F625"/>
  <c r="F624" s="1"/>
  <c r="F623" s="1"/>
  <c r="F622" s="1"/>
  <c r="G625"/>
  <c r="G624" s="1"/>
  <c r="G623" s="1"/>
  <c r="G622" s="1"/>
  <c r="E625"/>
  <c r="E624" s="1"/>
  <c r="E623" s="1"/>
  <c r="E622" s="1"/>
  <c r="F629"/>
  <c r="F628" s="1"/>
  <c r="F627" s="1"/>
  <c r="F626" s="1"/>
  <c r="G629"/>
  <c r="G628" s="1"/>
  <c r="G627" s="1"/>
  <c r="G626" s="1"/>
  <c r="E629"/>
  <c r="E628" s="1"/>
  <c r="E627" s="1"/>
  <c r="E626" s="1"/>
  <c r="F633"/>
  <c r="F632" s="1"/>
  <c r="F631" s="1"/>
  <c r="F630" s="1"/>
  <c r="G633"/>
  <c r="G632" s="1"/>
  <c r="G631" s="1"/>
  <c r="G630" s="1"/>
  <c r="E633"/>
  <c r="E632" s="1"/>
  <c r="E631" s="1"/>
  <c r="E630" s="1"/>
  <c r="F647"/>
  <c r="G647"/>
  <c r="E647"/>
  <c r="F651"/>
  <c r="G651"/>
  <c r="E651"/>
  <c r="F657"/>
  <c r="F656" s="1"/>
  <c r="F655" s="1"/>
  <c r="F654" s="1"/>
  <c r="F653" s="1"/>
  <c r="G657"/>
  <c r="G656" s="1"/>
  <c r="G655" s="1"/>
  <c r="G654" s="1"/>
  <c r="G653" s="1"/>
  <c r="E657"/>
  <c r="E656" s="1"/>
  <c r="E655" s="1"/>
  <c r="E654" s="1"/>
  <c r="E653" s="1"/>
  <c r="F662"/>
  <c r="G662"/>
  <c r="F665"/>
  <c r="G665"/>
  <c r="E662"/>
  <c r="E665"/>
  <c r="F640"/>
  <c r="G640"/>
  <c r="E640"/>
  <c r="F434"/>
  <c r="G434"/>
  <c r="E434"/>
  <c r="F437"/>
  <c r="G437"/>
  <c r="E437"/>
  <c r="F457"/>
  <c r="G457"/>
  <c r="F460"/>
  <c r="G460"/>
  <c r="E460"/>
  <c r="F479"/>
  <c r="G479"/>
  <c r="E479"/>
  <c r="F486"/>
  <c r="F485" s="1"/>
  <c r="F484" s="1"/>
  <c r="F483" s="1"/>
  <c r="G486"/>
  <c r="G485" s="1"/>
  <c r="G484" s="1"/>
  <c r="G483" s="1"/>
  <c r="E486"/>
  <c r="E485" s="1"/>
  <c r="E484" s="1"/>
  <c r="E483" s="1"/>
  <c r="F490"/>
  <c r="F489" s="1"/>
  <c r="F488" s="1"/>
  <c r="F487" s="1"/>
  <c r="G490"/>
  <c r="G489" s="1"/>
  <c r="G488" s="1"/>
  <c r="G487" s="1"/>
  <c r="E490"/>
  <c r="E489" s="1"/>
  <c r="E488" s="1"/>
  <c r="E487" s="1"/>
  <c r="F494"/>
  <c r="F493" s="1"/>
  <c r="F492" s="1"/>
  <c r="F491" s="1"/>
  <c r="G494"/>
  <c r="G493" s="1"/>
  <c r="G492" s="1"/>
  <c r="G491" s="1"/>
  <c r="E494"/>
  <c r="E493" s="1"/>
  <c r="E492" s="1"/>
  <c r="E491" s="1"/>
  <c r="F501"/>
  <c r="G501"/>
  <c r="E501"/>
  <c r="F504"/>
  <c r="F503" s="1"/>
  <c r="F502" s="1"/>
  <c r="G504"/>
  <c r="G503" s="1"/>
  <c r="G502" s="1"/>
  <c r="E504"/>
  <c r="E503" s="1"/>
  <c r="E502" s="1"/>
  <c r="F514"/>
  <c r="G514"/>
  <c r="F517"/>
  <c r="G517"/>
  <c r="E514"/>
  <c r="E517"/>
  <c r="F550"/>
  <c r="G550"/>
  <c r="E550"/>
  <c r="F558"/>
  <c r="G558"/>
  <c r="E558"/>
  <c r="F573"/>
  <c r="G573"/>
  <c r="E573"/>
  <c r="F579"/>
  <c r="F578" s="1"/>
  <c r="F577" s="1"/>
  <c r="F576" s="1"/>
  <c r="G579"/>
  <c r="G578" s="1"/>
  <c r="G577" s="1"/>
  <c r="G576" s="1"/>
  <c r="F587"/>
  <c r="F586" s="1"/>
  <c r="F585" s="1"/>
  <c r="F584" s="1"/>
  <c r="G587"/>
  <c r="G586" s="1"/>
  <c r="G585" s="1"/>
  <c r="G584" s="1"/>
  <c r="E579"/>
  <c r="E578" s="1"/>
  <c r="E577" s="1"/>
  <c r="E576" s="1"/>
  <c r="E587"/>
  <c r="E586" s="1"/>
  <c r="E585" s="1"/>
  <c r="E584" s="1"/>
  <c r="F606"/>
  <c r="G606"/>
  <c r="E606"/>
  <c r="F672"/>
  <c r="G672"/>
  <c r="E672"/>
  <c r="F679"/>
  <c r="G679"/>
  <c r="E679"/>
  <c r="F683"/>
  <c r="G683"/>
  <c r="E683"/>
  <c r="F689"/>
  <c r="F688" s="1"/>
  <c r="G689"/>
  <c r="G688" s="1"/>
  <c r="F691"/>
  <c r="F690" s="1"/>
  <c r="G691"/>
  <c r="G690" s="1"/>
  <c r="E689"/>
  <c r="E688" s="1"/>
  <c r="E691"/>
  <c r="E690" s="1"/>
  <c r="F318"/>
  <c r="G318"/>
  <c r="E318"/>
  <c r="F322"/>
  <c r="G322"/>
  <c r="F326"/>
  <c r="G326"/>
  <c r="F329"/>
  <c r="G329"/>
  <c r="E329"/>
  <c r="F340"/>
  <c r="G340"/>
  <c r="E340"/>
  <c r="F343"/>
  <c r="G343"/>
  <c r="E343"/>
  <c r="F346"/>
  <c r="G346"/>
  <c r="E346"/>
  <c r="F362"/>
  <c r="G362"/>
  <c r="F365"/>
  <c r="G365"/>
  <c r="E362"/>
  <c r="E365"/>
  <c r="F368"/>
  <c r="G368"/>
  <c r="E368"/>
  <c r="F374"/>
  <c r="G374"/>
  <c r="E374"/>
  <c r="F381"/>
  <c r="G381"/>
  <c r="E381"/>
  <c r="F385"/>
  <c r="F384" s="1"/>
  <c r="F383" s="1"/>
  <c r="G385"/>
  <c r="G384" s="1"/>
  <c r="G383" s="1"/>
  <c r="E385"/>
  <c r="E384" s="1"/>
  <c r="E383" s="1"/>
  <c r="F394"/>
  <c r="G394"/>
  <c r="E394"/>
  <c r="F397"/>
  <c r="G397"/>
  <c r="E397"/>
  <c r="F404"/>
  <c r="F403" s="1"/>
  <c r="F402" s="1"/>
  <c r="F401" s="1"/>
  <c r="G404"/>
  <c r="G403" s="1"/>
  <c r="G402" s="1"/>
  <c r="G401" s="1"/>
  <c r="E404"/>
  <c r="E403" s="1"/>
  <c r="E402" s="1"/>
  <c r="E401" s="1"/>
  <c r="F412"/>
  <c r="G412"/>
  <c r="E412"/>
  <c r="F418"/>
  <c r="G418"/>
  <c r="F422"/>
  <c r="F421" s="1"/>
  <c r="F420" s="1"/>
  <c r="F419" s="1"/>
  <c r="G422"/>
  <c r="G421" s="1"/>
  <c r="G420" s="1"/>
  <c r="G419" s="1"/>
  <c r="F426"/>
  <c r="F425" s="1"/>
  <c r="F424" s="1"/>
  <c r="G426"/>
  <c r="G425" s="1"/>
  <c r="G424" s="1"/>
  <c r="E418"/>
  <c r="E422"/>
  <c r="E421" s="1"/>
  <c r="E420" s="1"/>
  <c r="E419" s="1"/>
  <c r="E426"/>
  <c r="E425" s="1"/>
  <c r="E424" s="1"/>
  <c r="F299"/>
  <c r="G299"/>
  <c r="F308"/>
  <c r="F307" s="1"/>
  <c r="F306" s="1"/>
  <c r="G308"/>
  <c r="G307" s="1"/>
  <c r="G306" s="1"/>
  <c r="E308"/>
  <c r="E307" s="1"/>
  <c r="E306" s="1"/>
  <c r="E299"/>
  <c r="F246"/>
  <c r="E399" i="147" s="1"/>
  <c r="E398" s="1"/>
  <c r="E397" s="1"/>
  <c r="G246" i="155"/>
  <c r="F399" i="147" s="1"/>
  <c r="F398" s="1"/>
  <c r="F397" s="1"/>
  <c r="E246" i="155"/>
  <c r="D399" i="147" s="1"/>
  <c r="D398" s="1"/>
  <c r="D397" s="1"/>
  <c r="F85" i="155"/>
  <c r="E540" i="147" s="1"/>
  <c r="E539" s="1"/>
  <c r="E538" s="1"/>
  <c r="G85" i="155"/>
  <c r="F540" i="147" s="1"/>
  <c r="F539" s="1"/>
  <c r="F538" s="1"/>
  <c r="E85" i="155"/>
  <c r="D540" i="147" s="1"/>
  <c r="D539" s="1"/>
  <c r="D538" s="1"/>
  <c r="H931" i="154"/>
  <c r="G931"/>
  <c r="F931"/>
  <c r="H961"/>
  <c r="G674" i="155" s="1"/>
  <c r="G961" i="154"/>
  <c r="F674" i="155" s="1"/>
  <c r="E674"/>
  <c r="H895" i="154"/>
  <c r="G569" i="155" s="1"/>
  <c r="G895" i="154"/>
  <c r="F569" i="155" s="1"/>
  <c r="F895" i="154"/>
  <c r="E569" i="155" s="1"/>
  <c r="G511"/>
  <c r="G849" i="154"/>
  <c r="F511" i="155" s="1"/>
  <c r="F849" i="154"/>
  <c r="E511" i="155" s="1"/>
  <c r="F807" i="154"/>
  <c r="E457" i="155" s="1"/>
  <c r="H645" i="154"/>
  <c r="G894" i="155" s="1"/>
  <c r="G645" i="154"/>
  <c r="F894" i="155" s="1"/>
  <c r="E894"/>
  <c r="H609" i="154"/>
  <c r="G859" i="155" s="1"/>
  <c r="G609" i="154"/>
  <c r="F859" i="155" s="1"/>
  <c r="F609" i="154"/>
  <c r="E859" i="155" s="1"/>
  <c r="F735"/>
  <c r="E735"/>
  <c r="H493" i="154"/>
  <c r="G723" i="155" s="1"/>
  <c r="G493" i="154"/>
  <c r="F723" i="155" s="1"/>
  <c r="F493" i="154"/>
  <c r="E723" i="155" s="1"/>
  <c r="H481" i="154"/>
  <c r="G711" i="155" s="1"/>
  <c r="G481" i="154"/>
  <c r="F711" i="155" s="1"/>
  <c r="F481" i="154"/>
  <c r="E711" i="155" s="1"/>
  <c r="H411" i="154"/>
  <c r="G411"/>
  <c r="F411"/>
  <c r="G393"/>
  <c r="F540" i="155" s="1"/>
  <c r="E540"/>
  <c r="G396" i="154"/>
  <c r="F543" i="155" s="1"/>
  <c r="E543"/>
  <c r="E529"/>
  <c r="E482"/>
  <c r="E473"/>
  <c r="E447"/>
  <c r="F359" i="154"/>
  <c r="E450" i="155" s="1"/>
  <c r="F248" i="154"/>
  <c r="E326" i="155" s="1"/>
  <c r="F244" i="154"/>
  <c r="E322" i="155" s="1"/>
  <c r="G258"/>
  <c r="F258"/>
  <c r="E258"/>
  <c r="H180" i="154"/>
  <c r="G243" i="155" s="1"/>
  <c r="F396" i="147" s="1"/>
  <c r="F395" s="1"/>
  <c r="F394" s="1"/>
  <c r="G180" i="154"/>
  <c r="F243" i="155" s="1"/>
  <c r="E396" i="147" s="1"/>
  <c r="E395" s="1"/>
  <c r="E394" s="1"/>
  <c r="E243" i="155"/>
  <c r="D396" i="147" s="1"/>
  <c r="D395" s="1"/>
  <c r="D394" s="1"/>
  <c r="G233" i="155"/>
  <c r="F386" i="147" s="1"/>
  <c r="F385" s="1"/>
  <c r="F384" s="1"/>
  <c r="F233" i="155"/>
  <c r="E386" i="147" s="1"/>
  <c r="E385" s="1"/>
  <c r="E384" s="1"/>
  <c r="E233" i="155"/>
  <c r="D386" i="147" s="1"/>
  <c r="D385" s="1"/>
  <c r="D384" s="1"/>
  <c r="F43" i="154"/>
  <c r="F42" s="1"/>
  <c r="F41" s="1"/>
  <c r="F40" s="1"/>
  <c r="F39" s="1"/>
  <c r="H43"/>
  <c r="H42" s="1"/>
  <c r="H41" s="1"/>
  <c r="H40" s="1"/>
  <c r="H39" s="1"/>
  <c r="G43"/>
  <c r="G42" s="1"/>
  <c r="G41" s="1"/>
  <c r="G40" s="1"/>
  <c r="G39" s="1"/>
  <c r="F868" i="155" l="1"/>
  <c r="F867" s="1"/>
  <c r="E868"/>
  <c r="E867" s="1"/>
  <c r="G868"/>
  <c r="D390" i="147"/>
  <c r="F390"/>
  <c r="E390"/>
  <c r="E466" i="155"/>
  <c r="E465" s="1"/>
  <c r="E461" s="1"/>
  <c r="D81" i="147"/>
  <c r="D80" s="1"/>
  <c r="D79" s="1"/>
  <c r="D75" s="1"/>
  <c r="E449" i="155"/>
  <c r="E448" s="1"/>
  <c r="D58" i="147"/>
  <c r="D57" s="1"/>
  <c r="D56" s="1"/>
  <c r="F305" i="155"/>
  <c r="F300" s="1"/>
  <c r="G305"/>
  <c r="G300" s="1"/>
  <c r="E305"/>
  <c r="E300" s="1"/>
  <c r="E172" i="147"/>
  <c r="E171" s="1"/>
  <c r="E170" s="1"/>
  <c r="F172"/>
  <c r="F171" s="1"/>
  <c r="F170" s="1"/>
  <c r="D172"/>
  <c r="D171" s="1"/>
  <c r="D170" s="1"/>
  <c r="E528" i="155"/>
  <c r="E527" s="1"/>
  <c r="D52" i="147"/>
  <c r="D51" s="1"/>
  <c r="D50" s="1"/>
  <c r="E382" i="155"/>
  <c r="D353" i="147"/>
  <c r="D352" s="1"/>
  <c r="D351" s="1"/>
  <c r="D350" s="1"/>
  <c r="F373" i="155"/>
  <c r="F372" s="1"/>
  <c r="E342" i="147"/>
  <c r="E341" s="1"/>
  <c r="E340" s="1"/>
  <c r="G361" i="155"/>
  <c r="G360" s="1"/>
  <c r="F330" i="147"/>
  <c r="F329" s="1"/>
  <c r="F328" s="1"/>
  <c r="E339" i="155"/>
  <c r="E338" s="1"/>
  <c r="D308" i="147"/>
  <c r="D307" s="1"/>
  <c r="D306" s="1"/>
  <c r="G321" i="155"/>
  <c r="G320" s="1"/>
  <c r="G319" s="1"/>
  <c r="F290" i="147"/>
  <c r="F289" s="1"/>
  <c r="F288" s="1"/>
  <c r="F287" s="1"/>
  <c r="F678" i="155"/>
  <c r="F677" s="1"/>
  <c r="F676" s="1"/>
  <c r="E134" i="147"/>
  <c r="E133" s="1"/>
  <c r="E132" s="1"/>
  <c r="F572" i="155"/>
  <c r="F571" s="1"/>
  <c r="F570" s="1"/>
  <c r="E150" i="147"/>
  <c r="E149" s="1"/>
  <c r="E148" s="1"/>
  <c r="E147" s="1"/>
  <c r="E513" i="155"/>
  <c r="E512" s="1"/>
  <c r="D37" i="147"/>
  <c r="D36" s="1"/>
  <c r="D35" s="1"/>
  <c r="E500" i="155"/>
  <c r="E499" s="1"/>
  <c r="E498" s="1"/>
  <c r="D18" i="147"/>
  <c r="D17" s="1"/>
  <c r="D16" s="1"/>
  <c r="G459" i="155"/>
  <c r="G458" s="1"/>
  <c r="F74" i="147"/>
  <c r="F73" s="1"/>
  <c r="F72" s="1"/>
  <c r="G433" i="155"/>
  <c r="G432" s="1"/>
  <c r="F15" i="147"/>
  <c r="F14" s="1"/>
  <c r="F13" s="1"/>
  <c r="F664" i="155"/>
  <c r="F663" s="1"/>
  <c r="E275" i="147"/>
  <c r="E274" s="1"/>
  <c r="E273" s="1"/>
  <c r="F650" i="155"/>
  <c r="F649" s="1"/>
  <c r="F648" s="1"/>
  <c r="E154" i="147"/>
  <c r="E153" s="1"/>
  <c r="E152" s="1"/>
  <c r="E151" s="1"/>
  <c r="G446" i="155"/>
  <c r="G445" s="1"/>
  <c r="G441" s="1"/>
  <c r="F55" i="147"/>
  <c r="F54" s="1"/>
  <c r="F53" s="1"/>
  <c r="G481" i="155"/>
  <c r="G480" s="1"/>
  <c r="F456" i="147"/>
  <c r="F455" s="1"/>
  <c r="F454" s="1"/>
  <c r="F520" i="155"/>
  <c r="F519" s="1"/>
  <c r="E44" i="147"/>
  <c r="E43" s="1"/>
  <c r="E42" s="1"/>
  <c r="E719" i="155"/>
  <c r="E718" s="1"/>
  <c r="F707"/>
  <c r="F706" s="1"/>
  <c r="E160" i="147"/>
  <c r="E159" s="1"/>
  <c r="E158" s="1"/>
  <c r="E769" i="155"/>
  <c r="D242" i="147"/>
  <c r="D241" s="1"/>
  <c r="E758" i="155"/>
  <c r="D260" i="147"/>
  <c r="D259" s="1"/>
  <c r="G780" i="155"/>
  <c r="F30" i="147"/>
  <c r="F29" s="1"/>
  <c r="E822" i="155"/>
  <c r="D207" i="147"/>
  <c r="D206" s="1"/>
  <c r="G819" i="155"/>
  <c r="F204" i="147"/>
  <c r="F203" s="1"/>
  <c r="F811" i="155"/>
  <c r="F810" s="1"/>
  <c r="F809" s="1"/>
  <c r="E196" i="147"/>
  <c r="E195" s="1"/>
  <c r="E194" s="1"/>
  <c r="E193" s="1"/>
  <c r="G849" i="155"/>
  <c r="G848" s="1"/>
  <c r="G847" s="1"/>
  <c r="G846" s="1"/>
  <c r="G845" s="1"/>
  <c r="F116" i="147"/>
  <c r="F115" s="1"/>
  <c r="F114" s="1"/>
  <c r="F257" i="155"/>
  <c r="F256" s="1"/>
  <c r="E411" i="147"/>
  <c r="E410" s="1"/>
  <c r="E409" s="1"/>
  <c r="E257" i="155"/>
  <c r="E256" s="1"/>
  <c r="D411" i="147"/>
  <c r="D410" s="1"/>
  <c r="D409" s="1"/>
  <c r="F423" i="155"/>
  <c r="E474" i="147"/>
  <c r="E473" s="1"/>
  <c r="F393" i="155"/>
  <c r="F392" s="1"/>
  <c r="E370" i="147"/>
  <c r="E369" s="1"/>
  <c r="E368" s="1"/>
  <c r="G373" i="155"/>
  <c r="G372" s="1"/>
  <c r="F342" i="147"/>
  <c r="F341" s="1"/>
  <c r="F340" s="1"/>
  <c r="F364" i="155"/>
  <c r="F363" s="1"/>
  <c r="E333" i="147"/>
  <c r="E332" s="1"/>
  <c r="E331" s="1"/>
  <c r="F342" i="155"/>
  <c r="F341" s="1"/>
  <c r="E311" i="147"/>
  <c r="E310" s="1"/>
  <c r="E309" s="1"/>
  <c r="F325" i="155"/>
  <c r="F324" s="1"/>
  <c r="E294" i="147"/>
  <c r="E293" s="1"/>
  <c r="E292" s="1"/>
  <c r="G678" i="155"/>
  <c r="G677" s="1"/>
  <c r="G676" s="1"/>
  <c r="F134" i="147"/>
  <c r="F133" s="1"/>
  <c r="F132" s="1"/>
  <c r="F605" i="155"/>
  <c r="F604" s="1"/>
  <c r="E113" i="147"/>
  <c r="E112" s="1"/>
  <c r="E111" s="1"/>
  <c r="G572" i="155"/>
  <c r="G571" s="1"/>
  <c r="G570" s="1"/>
  <c r="F150" i="147"/>
  <c r="F149" s="1"/>
  <c r="F148" s="1"/>
  <c r="F147" s="1"/>
  <c r="E516" i="155"/>
  <c r="E515" s="1"/>
  <c r="D40" i="147"/>
  <c r="D39" s="1"/>
  <c r="D38" s="1"/>
  <c r="E459" i="155"/>
  <c r="E458" s="1"/>
  <c r="D74" i="147"/>
  <c r="D73" s="1"/>
  <c r="D72" s="1"/>
  <c r="E433" i="155"/>
  <c r="E432" s="1"/>
  <c r="D15" i="147"/>
  <c r="D14" s="1"/>
  <c r="D13" s="1"/>
  <c r="G664" i="155"/>
  <c r="G663" s="1"/>
  <c r="F275" i="147"/>
  <c r="F274" s="1"/>
  <c r="F273" s="1"/>
  <c r="G650" i="155"/>
  <c r="G649" s="1"/>
  <c r="G648" s="1"/>
  <c r="F154" i="147"/>
  <c r="F153" s="1"/>
  <c r="F152" s="1"/>
  <c r="F151" s="1"/>
  <c r="F472" i="155"/>
  <c r="F471" s="1"/>
  <c r="F470" s="1"/>
  <c r="E447" i="147"/>
  <c r="E446" s="1"/>
  <c r="E445" s="1"/>
  <c r="E441" s="1"/>
  <c r="G520" i="155"/>
  <c r="G519" s="1"/>
  <c r="F44" i="147"/>
  <c r="F43" s="1"/>
  <c r="F42" s="1"/>
  <c r="F726" i="155"/>
  <c r="F725" s="1"/>
  <c r="F724" s="1"/>
  <c r="E179" i="147"/>
  <c r="E178" s="1"/>
  <c r="E177" s="1"/>
  <c r="E176" s="1"/>
  <c r="G707" i="155"/>
  <c r="G706" s="1"/>
  <c r="F160" i="147"/>
  <c r="F159" s="1"/>
  <c r="F158" s="1"/>
  <c r="E771" i="155"/>
  <c r="D244" i="147"/>
  <c r="D243" s="1"/>
  <c r="F765" i="155"/>
  <c r="F764" s="1"/>
  <c r="F763" s="1"/>
  <c r="E233" i="147"/>
  <c r="E232" s="1"/>
  <c r="E231" s="1"/>
  <c r="E230" s="1"/>
  <c r="E778" i="155"/>
  <c r="D28" i="147"/>
  <c r="D27" s="1"/>
  <c r="E824" i="155"/>
  <c r="D209" i="147"/>
  <c r="D208" s="1"/>
  <c r="E815" i="155"/>
  <c r="D200" i="147"/>
  <c r="D199" s="1"/>
  <c r="G811" i="155"/>
  <c r="G810" s="1"/>
  <c r="G809" s="1"/>
  <c r="F196" i="147"/>
  <c r="F195" s="1"/>
  <c r="F194" s="1"/>
  <c r="F193" s="1"/>
  <c r="E849" i="155"/>
  <c r="E848" s="1"/>
  <c r="E847" s="1"/>
  <c r="E846" s="1"/>
  <c r="E845" s="1"/>
  <c r="D116" i="147"/>
  <c r="D115" s="1"/>
  <c r="D114" s="1"/>
  <c r="E481" i="155"/>
  <c r="E480" s="1"/>
  <c r="D456" i="147"/>
  <c r="D455" s="1"/>
  <c r="D454" s="1"/>
  <c r="E734" i="155"/>
  <c r="E733" s="1"/>
  <c r="E732" s="1"/>
  <c r="D187" i="147"/>
  <c r="D186" s="1"/>
  <c r="D185" s="1"/>
  <c r="D184" s="1"/>
  <c r="F568" i="155"/>
  <c r="F567" s="1"/>
  <c r="F563" s="1"/>
  <c r="E140" i="147"/>
  <c r="E139" s="1"/>
  <c r="E138" s="1"/>
  <c r="E472" i="155"/>
  <c r="E471" s="1"/>
  <c r="E470" s="1"/>
  <c r="D447" i="147"/>
  <c r="D446" s="1"/>
  <c r="D445" s="1"/>
  <c r="D441" s="1"/>
  <c r="G722" i="155"/>
  <c r="G721" s="1"/>
  <c r="F175" i="147"/>
  <c r="F174" s="1"/>
  <c r="F173" s="1"/>
  <c r="G893" i="155"/>
  <c r="G892" s="1"/>
  <c r="F254" i="147"/>
  <c r="F253" s="1"/>
  <c r="F252" s="1"/>
  <c r="E568" i="155"/>
  <c r="E567" s="1"/>
  <c r="E563" s="1"/>
  <c r="D140" i="147"/>
  <c r="D139" s="1"/>
  <c r="D138" s="1"/>
  <c r="G423" i="155"/>
  <c r="F474" i="147"/>
  <c r="F473" s="1"/>
  <c r="F411" i="155"/>
  <c r="F410" s="1"/>
  <c r="F409" s="1"/>
  <c r="F400" s="1"/>
  <c r="E361" i="147"/>
  <c r="E360" s="1"/>
  <c r="E359" s="1"/>
  <c r="E358" s="1"/>
  <c r="G393" i="155"/>
  <c r="G392" s="1"/>
  <c r="F370" i="147"/>
  <c r="F369" s="1"/>
  <c r="F368" s="1"/>
  <c r="E373" i="155"/>
  <c r="E372" s="1"/>
  <c r="D342" i="147"/>
  <c r="D341" s="1"/>
  <c r="D340" s="1"/>
  <c r="G364" i="155"/>
  <c r="G363" s="1"/>
  <c r="F333" i="147"/>
  <c r="F332" s="1"/>
  <c r="F331" s="1"/>
  <c r="G342" i="155"/>
  <c r="G341" s="1"/>
  <c r="F311" i="147"/>
  <c r="F310" s="1"/>
  <c r="F309" s="1"/>
  <c r="G325" i="155"/>
  <c r="G324" s="1"/>
  <c r="F294" i="147"/>
  <c r="F293" s="1"/>
  <c r="F292" s="1"/>
  <c r="E678" i="155"/>
  <c r="E677" s="1"/>
  <c r="E676" s="1"/>
  <c r="D134" i="147"/>
  <c r="D133" s="1"/>
  <c r="D132" s="1"/>
  <c r="G605" i="155"/>
  <c r="G604" s="1"/>
  <c r="F113" i="147"/>
  <c r="F112" s="1"/>
  <c r="F111" s="1"/>
  <c r="E572" i="155"/>
  <c r="E571" s="1"/>
  <c r="E570" s="1"/>
  <c r="D150" i="147"/>
  <c r="D149" s="1"/>
  <c r="D148" s="1"/>
  <c r="D147" s="1"/>
  <c r="F549" i="155"/>
  <c r="F548" s="1"/>
  <c r="F544" s="1"/>
  <c r="E102" i="147"/>
  <c r="E101" s="1"/>
  <c r="E100" s="1"/>
  <c r="E96" s="1"/>
  <c r="F478" i="155"/>
  <c r="F475" s="1"/>
  <c r="E453" i="147"/>
  <c r="E452" s="1"/>
  <c r="E449" s="1"/>
  <c r="F436" i="155"/>
  <c r="F435" s="1"/>
  <c r="E21" i="147"/>
  <c r="E20" s="1"/>
  <c r="E19" s="1"/>
  <c r="E661" i="155"/>
  <c r="E660" s="1"/>
  <c r="D272" i="147"/>
  <c r="D271" s="1"/>
  <c r="D270" s="1"/>
  <c r="E650" i="155"/>
  <c r="E649" s="1"/>
  <c r="E648" s="1"/>
  <c r="D154" i="147"/>
  <c r="D153" s="1"/>
  <c r="D152" s="1"/>
  <c r="D151" s="1"/>
  <c r="G472" i="155"/>
  <c r="G471" s="1"/>
  <c r="G470" s="1"/>
  <c r="F447" i="147"/>
  <c r="F446" s="1"/>
  <c r="F445" s="1"/>
  <c r="F441" s="1"/>
  <c r="F525" i="155"/>
  <c r="F524" s="1"/>
  <c r="E49" i="147"/>
  <c r="E48" s="1"/>
  <c r="E47" s="1"/>
  <c r="G726" i="155"/>
  <c r="G725" s="1"/>
  <c r="G724" s="1"/>
  <c r="F179" i="147"/>
  <c r="F178" s="1"/>
  <c r="F177" s="1"/>
  <c r="F176" s="1"/>
  <c r="E707" i="155"/>
  <c r="E706" s="1"/>
  <c r="D160" i="147"/>
  <c r="D159" s="1"/>
  <c r="D158" s="1"/>
  <c r="F786" i="155"/>
  <c r="F785" s="1"/>
  <c r="F784" s="1"/>
  <c r="F783" s="1"/>
  <c r="F782" s="1"/>
  <c r="E280" i="147"/>
  <c r="E279" s="1"/>
  <c r="E278" s="1"/>
  <c r="E277" s="1"/>
  <c r="E276" s="1"/>
  <c r="G765" i="155"/>
  <c r="G764" s="1"/>
  <c r="G763" s="1"/>
  <c r="F233" i="147"/>
  <c r="F232" s="1"/>
  <c r="F231" s="1"/>
  <c r="F230" s="1"/>
  <c r="E780" i="155"/>
  <c r="D30" i="147"/>
  <c r="D29" s="1"/>
  <c r="F792" i="155"/>
  <c r="F791" s="1"/>
  <c r="F790" s="1"/>
  <c r="F789" s="1"/>
  <c r="F788" s="1"/>
  <c r="E495" i="147"/>
  <c r="E494" s="1"/>
  <c r="E493" s="1"/>
  <c r="E492" s="1"/>
  <c r="F828" i="155"/>
  <c r="F827" s="1"/>
  <c r="F826" s="1"/>
  <c r="E213" i="147"/>
  <c r="E212" s="1"/>
  <c r="E211" s="1"/>
  <c r="E210" s="1"/>
  <c r="E817" i="155"/>
  <c r="D202" i="147"/>
  <c r="D201" s="1"/>
  <c r="E811" i="155"/>
  <c r="E810" s="1"/>
  <c r="E809" s="1"/>
  <c r="D196" i="147"/>
  <c r="D195" s="1"/>
  <c r="D194" s="1"/>
  <c r="D193" s="1"/>
  <c r="F800" i="155"/>
  <c r="F799" s="1"/>
  <c r="F798" s="1"/>
  <c r="F797" s="1"/>
  <c r="F796" s="1"/>
  <c r="F795" s="1"/>
  <c r="D45" i="143" s="1"/>
  <c r="E218" i="147"/>
  <c r="E217" s="1"/>
  <c r="E216" s="1"/>
  <c r="E446" i="155"/>
  <c r="E445" s="1"/>
  <c r="D55" i="147"/>
  <c r="D54" s="1"/>
  <c r="D53" s="1"/>
  <c r="E525" i="155"/>
  <c r="E524" s="1"/>
  <c r="D49" i="147"/>
  <c r="D48" s="1"/>
  <c r="D47" s="1"/>
  <c r="F722" i="155"/>
  <c r="F721" s="1"/>
  <c r="E175" i="147"/>
  <c r="E174" s="1"/>
  <c r="E173" s="1"/>
  <c r="F893" i="155"/>
  <c r="F892" s="1"/>
  <c r="E254" i="147"/>
  <c r="E253" s="1"/>
  <c r="E252" s="1"/>
  <c r="G510" i="155"/>
  <c r="G509" s="1"/>
  <c r="F34" i="147"/>
  <c r="F33" s="1"/>
  <c r="F32" s="1"/>
  <c r="E298" i="155"/>
  <c r="E297" s="1"/>
  <c r="E296" s="1"/>
  <c r="D425" i="147"/>
  <c r="D424" s="1"/>
  <c r="D423" s="1"/>
  <c r="D422" s="1"/>
  <c r="D415" s="1"/>
  <c r="E417" i="155"/>
  <c r="E416" s="1"/>
  <c r="E415" s="1"/>
  <c r="D462" i="147"/>
  <c r="D461" s="1"/>
  <c r="G411" i="155"/>
  <c r="G410" s="1"/>
  <c r="G409" s="1"/>
  <c r="G400" s="1"/>
  <c r="F361" i="147"/>
  <c r="F360" s="1"/>
  <c r="F359" s="1"/>
  <c r="F358" s="1"/>
  <c r="E393" i="155"/>
  <c r="E392" s="1"/>
  <c r="D370" i="147"/>
  <c r="D369" s="1"/>
  <c r="D368" s="1"/>
  <c r="F380" i="155"/>
  <c r="F379" s="1"/>
  <c r="F378" s="1"/>
  <c r="E349" i="147"/>
  <c r="E348" s="1"/>
  <c r="E347" s="1"/>
  <c r="E346" s="1"/>
  <c r="E361" i="155"/>
  <c r="E360" s="1"/>
  <c r="D330" i="147"/>
  <c r="D329" s="1"/>
  <c r="D328" s="1"/>
  <c r="E342" i="155"/>
  <c r="E341" s="1"/>
  <c r="D311" i="147"/>
  <c r="D310" s="1"/>
  <c r="D309" s="1"/>
  <c r="F328" i="155"/>
  <c r="F327" s="1"/>
  <c r="E297" i="147"/>
  <c r="E296" s="1"/>
  <c r="E295" s="1"/>
  <c r="F682" i="155"/>
  <c r="F681" s="1"/>
  <c r="F680" s="1"/>
  <c r="E144" i="147"/>
  <c r="E143" s="1"/>
  <c r="E605" i="155"/>
  <c r="E604" s="1"/>
  <c r="D113" i="147"/>
  <c r="D112" s="1"/>
  <c r="D111" s="1"/>
  <c r="G549" i="155"/>
  <c r="G548" s="1"/>
  <c r="G544" s="1"/>
  <c r="F102" i="147"/>
  <c r="F101" s="1"/>
  <c r="F100" s="1"/>
  <c r="F96" s="1"/>
  <c r="G478" i="155"/>
  <c r="F453" i="147"/>
  <c r="F452" s="1"/>
  <c r="F449" s="1"/>
  <c r="G436" i="155"/>
  <c r="G435" s="1"/>
  <c r="F21" i="147"/>
  <c r="F20" s="1"/>
  <c r="F19" s="1"/>
  <c r="E664" i="155"/>
  <c r="E663" s="1"/>
  <c r="D275" i="147"/>
  <c r="D274" s="1"/>
  <c r="D273" s="1"/>
  <c r="E81"/>
  <c r="E80" s="1"/>
  <c r="E79" s="1"/>
  <c r="E75" s="1"/>
  <c r="G525" i="155"/>
  <c r="G524" s="1"/>
  <c r="F49" i="147"/>
  <c r="F48" s="1"/>
  <c r="F47" s="1"/>
  <c r="E726" i="155"/>
  <c r="E725" s="1"/>
  <c r="E724" s="1"/>
  <c r="D179" i="147"/>
  <c r="D178" s="1"/>
  <c r="D177" s="1"/>
  <c r="D176" s="1"/>
  <c r="F714" i="155"/>
  <c r="F713" s="1"/>
  <c r="F712" s="1"/>
  <c r="E167" i="147"/>
  <c r="E166" s="1"/>
  <c r="E165" s="1"/>
  <c r="E164" s="1"/>
  <c r="G786" i="155"/>
  <c r="G785" s="1"/>
  <c r="G784" s="1"/>
  <c r="G783" s="1"/>
  <c r="G782" s="1"/>
  <c r="F280" i="147"/>
  <c r="F279" s="1"/>
  <c r="F278" s="1"/>
  <c r="F277" s="1"/>
  <c r="F276" s="1"/>
  <c r="E765" i="155"/>
  <c r="E764" s="1"/>
  <c r="E763" s="1"/>
  <c r="D233" i="147"/>
  <c r="D232" s="1"/>
  <c r="D231" s="1"/>
  <c r="D230" s="1"/>
  <c r="F756" i="155"/>
  <c r="E258" i="147"/>
  <c r="E257" s="1"/>
  <c r="G792" i="155"/>
  <c r="G791" s="1"/>
  <c r="G790" s="1"/>
  <c r="G789" s="1"/>
  <c r="G788" s="1"/>
  <c r="F495" i="147"/>
  <c r="F494" s="1"/>
  <c r="F493" s="1"/>
  <c r="F492" s="1"/>
  <c r="G828" i="155"/>
  <c r="G827" s="1"/>
  <c r="G826" s="1"/>
  <c r="F213" i="147"/>
  <c r="F212" s="1"/>
  <c r="F211" s="1"/>
  <c r="F210" s="1"/>
  <c r="E819" i="155"/>
  <c r="D204" i="147"/>
  <c r="D203" s="1"/>
  <c r="F815" i="155"/>
  <c r="E200" i="147"/>
  <c r="E199" s="1"/>
  <c r="G800" i="155"/>
  <c r="G799" s="1"/>
  <c r="G798" s="1"/>
  <c r="G797" s="1"/>
  <c r="G796" s="1"/>
  <c r="G795" s="1"/>
  <c r="E45" i="143" s="1"/>
  <c r="F218" i="147"/>
  <c r="F217" s="1"/>
  <c r="F216" s="1"/>
  <c r="F539" i="155"/>
  <c r="F538" s="1"/>
  <c r="E92" i="147"/>
  <c r="E91" s="1"/>
  <c r="E90" s="1"/>
  <c r="E722" i="155"/>
  <c r="E721" s="1"/>
  <c r="D175" i="147"/>
  <c r="D174" s="1"/>
  <c r="D173" s="1"/>
  <c r="E893" i="155"/>
  <c r="E892" s="1"/>
  <c r="D254" i="147"/>
  <c r="D253" s="1"/>
  <c r="D252" s="1"/>
  <c r="F510" i="155"/>
  <c r="F509" s="1"/>
  <c r="E34" i="147"/>
  <c r="E33" s="1"/>
  <c r="E32" s="1"/>
  <c r="E411" i="155"/>
  <c r="E410" s="1"/>
  <c r="E409" s="1"/>
  <c r="E400" s="1"/>
  <c r="D361" i="147"/>
  <c r="D360" s="1"/>
  <c r="D359" s="1"/>
  <c r="D358" s="1"/>
  <c r="F396" i="155"/>
  <c r="F395" s="1"/>
  <c r="E373" i="147"/>
  <c r="E372" s="1"/>
  <c r="E371" s="1"/>
  <c r="G380" i="155"/>
  <c r="G379" s="1"/>
  <c r="G378" s="1"/>
  <c r="F349" i="147"/>
  <c r="F348" s="1"/>
  <c r="F347" s="1"/>
  <c r="F346" s="1"/>
  <c r="E364" i="155"/>
  <c r="E363" s="1"/>
  <c r="D333" i="147"/>
  <c r="D332" s="1"/>
  <c r="D331" s="1"/>
  <c r="F345" i="155"/>
  <c r="F344" s="1"/>
  <c r="E314" i="147"/>
  <c r="E313" s="1"/>
  <c r="E312" s="1"/>
  <c r="G328" i="155"/>
  <c r="G327" s="1"/>
  <c r="F297" i="147"/>
  <c r="F296" s="1"/>
  <c r="F295" s="1"/>
  <c r="F317" i="155"/>
  <c r="F316" s="1"/>
  <c r="F315" s="1"/>
  <c r="E286" i="147"/>
  <c r="E285" s="1"/>
  <c r="E284" s="1"/>
  <c r="E283" s="1"/>
  <c r="G682" i="155"/>
  <c r="G681" s="1"/>
  <c r="G680" s="1"/>
  <c r="F144" i="147"/>
  <c r="F143" s="1"/>
  <c r="E549" i="155"/>
  <c r="E548" s="1"/>
  <c r="E544" s="1"/>
  <c r="D102" i="147"/>
  <c r="D101" s="1"/>
  <c r="D100" s="1"/>
  <c r="D96" s="1"/>
  <c r="F513" i="155"/>
  <c r="F512" s="1"/>
  <c r="E37" i="147"/>
  <c r="E36" s="1"/>
  <c r="E35" s="1"/>
  <c r="E478" i="155"/>
  <c r="E475" s="1"/>
  <c r="D453" i="147"/>
  <c r="D452" s="1"/>
  <c r="D449" s="1"/>
  <c r="E436" i="155"/>
  <c r="E435" s="1"/>
  <c r="D21" i="147"/>
  <c r="D20" s="1"/>
  <c r="D19" s="1"/>
  <c r="F639" i="155"/>
  <c r="F638" s="1"/>
  <c r="F637" s="1"/>
  <c r="F636" s="1"/>
  <c r="F635" s="1"/>
  <c r="F634" s="1"/>
  <c r="D35" i="143" s="1"/>
  <c r="E516" i="147"/>
  <c r="E515" s="1"/>
  <c r="E514" s="1"/>
  <c r="E513" s="1"/>
  <c r="F81"/>
  <c r="F80" s="1"/>
  <c r="F79" s="1"/>
  <c r="F75" s="1"/>
  <c r="F528" i="155"/>
  <c r="F527" s="1"/>
  <c r="E52" i="147"/>
  <c r="E51" s="1"/>
  <c r="E50" s="1"/>
  <c r="G734" i="155"/>
  <c r="G733" s="1"/>
  <c r="G732" s="1"/>
  <c r="F187" i="147"/>
  <c r="F186" s="1"/>
  <c r="F185" s="1"/>
  <c r="F184" s="1"/>
  <c r="G714" i="155"/>
  <c r="G713" s="1"/>
  <c r="G712" s="1"/>
  <c r="F167" i="147"/>
  <c r="F166" s="1"/>
  <c r="F165" s="1"/>
  <c r="F164" s="1"/>
  <c r="E786" i="155"/>
  <c r="E785" s="1"/>
  <c r="E784" s="1"/>
  <c r="E783" s="1"/>
  <c r="E782" s="1"/>
  <c r="D280" i="147"/>
  <c r="D279" s="1"/>
  <c r="D278" s="1"/>
  <c r="D277" s="1"/>
  <c r="D276" s="1"/>
  <c r="F769" i="155"/>
  <c r="E242" i="147"/>
  <c r="E241" s="1"/>
  <c r="G756" i="155"/>
  <c r="F258" i="147"/>
  <c r="F257" s="1"/>
  <c r="E792" i="155"/>
  <c r="E791" s="1"/>
  <c r="E790" s="1"/>
  <c r="E789" s="1"/>
  <c r="E788" s="1"/>
  <c r="D495" i="147"/>
  <c r="D494" s="1"/>
  <c r="D493" s="1"/>
  <c r="D492" s="1"/>
  <c r="E828" i="155"/>
  <c r="E827" s="1"/>
  <c r="E826" s="1"/>
  <c r="D213" i="147"/>
  <c r="D212" s="1"/>
  <c r="D211" s="1"/>
  <c r="D210" s="1"/>
  <c r="F822" i="155"/>
  <c r="E207" i="147"/>
  <c r="E206" s="1"/>
  <c r="G815" i="155"/>
  <c r="F200" i="147"/>
  <c r="F199" s="1"/>
  <c r="E800" i="155"/>
  <c r="E799" s="1"/>
  <c r="E798" s="1"/>
  <c r="E797" s="1"/>
  <c r="E796" s="1"/>
  <c r="E795" s="1"/>
  <c r="C45" i="143" s="1"/>
  <c r="D218" i="147"/>
  <c r="D217" s="1"/>
  <c r="D216" s="1"/>
  <c r="F890" i="155"/>
  <c r="F889" s="1"/>
  <c r="E251" i="147"/>
  <c r="E250" s="1"/>
  <c r="E249" s="1"/>
  <c r="F734" i="155"/>
  <c r="F733" s="1"/>
  <c r="F732" s="1"/>
  <c r="E187" i="147"/>
  <c r="E186" s="1"/>
  <c r="E185" s="1"/>
  <c r="E184" s="1"/>
  <c r="E325" i="155"/>
  <c r="E324" s="1"/>
  <c r="D294" i="147"/>
  <c r="D293" s="1"/>
  <c r="D292" s="1"/>
  <c r="G858" i="155"/>
  <c r="G857" s="1"/>
  <c r="G853" s="1"/>
  <c r="F221" i="147"/>
  <c r="F220" s="1"/>
  <c r="F219" s="1"/>
  <c r="G673" i="155"/>
  <c r="F67" i="147"/>
  <c r="F66" s="1"/>
  <c r="E423" i="155"/>
  <c r="D474" i="147"/>
  <c r="D473" s="1"/>
  <c r="F417" i="155"/>
  <c r="F416" s="1"/>
  <c r="F415" s="1"/>
  <c r="E462" i="147"/>
  <c r="E461" s="1"/>
  <c r="G396" i="155"/>
  <c r="G395" s="1"/>
  <c r="F373" i="147"/>
  <c r="F372" s="1"/>
  <c r="F371" s="1"/>
  <c r="E380" i="155"/>
  <c r="E379" s="1"/>
  <c r="E378" s="1"/>
  <c r="D349" i="147"/>
  <c r="D348" s="1"/>
  <c r="D347" s="1"/>
  <c r="D346" s="1"/>
  <c r="F367" i="155"/>
  <c r="F366" s="1"/>
  <c r="E336" i="147"/>
  <c r="E335" s="1"/>
  <c r="E334" s="1"/>
  <c r="G345" i="155"/>
  <c r="G344" s="1"/>
  <c r="F314" i="147"/>
  <c r="F313" s="1"/>
  <c r="F312" s="1"/>
  <c r="E328" i="155"/>
  <c r="E327" s="1"/>
  <c r="D297" i="147"/>
  <c r="D296" s="1"/>
  <c r="D295" s="1"/>
  <c r="G317" i="155"/>
  <c r="G316" s="1"/>
  <c r="G315" s="1"/>
  <c r="F286" i="147"/>
  <c r="F285" s="1"/>
  <c r="F284" s="1"/>
  <c r="F283" s="1"/>
  <c r="E682" i="155"/>
  <c r="E681" s="1"/>
  <c r="E680" s="1"/>
  <c r="D144" i="147"/>
  <c r="D143" s="1"/>
  <c r="F671" i="155"/>
  <c r="E65" i="147"/>
  <c r="E64" s="1"/>
  <c r="F557" i="155"/>
  <c r="F556" s="1"/>
  <c r="E110" i="147"/>
  <c r="E109" s="1"/>
  <c r="E108" s="1"/>
  <c r="G513" i="155"/>
  <c r="G512" s="1"/>
  <c r="F37" i="147"/>
  <c r="F36" s="1"/>
  <c r="F35" s="1"/>
  <c r="F456" i="155"/>
  <c r="F455" s="1"/>
  <c r="E71" i="147"/>
  <c r="E70" s="1"/>
  <c r="E69" s="1"/>
  <c r="G639" i="155"/>
  <c r="G638" s="1"/>
  <c r="G637" s="1"/>
  <c r="G636" s="1"/>
  <c r="G635" s="1"/>
  <c r="G634" s="1"/>
  <c r="E35" i="143" s="1"/>
  <c r="F516" i="147"/>
  <c r="F515" s="1"/>
  <c r="F514" s="1"/>
  <c r="F513" s="1"/>
  <c r="F646" i="155"/>
  <c r="F645" s="1"/>
  <c r="F644" s="1"/>
  <c r="E146" i="147"/>
  <c r="E145" s="1"/>
  <c r="G528" i="155"/>
  <c r="G527" s="1"/>
  <c r="F52" i="147"/>
  <c r="F51" s="1"/>
  <c r="F50" s="1"/>
  <c r="E714" i="155"/>
  <c r="E713" s="1"/>
  <c r="E712" s="1"/>
  <c r="D167" i="147"/>
  <c r="D166" s="1"/>
  <c r="D165" s="1"/>
  <c r="D164" s="1"/>
  <c r="G769" i="155"/>
  <c r="F242" i="147"/>
  <c r="F241" s="1"/>
  <c r="F758" i="155"/>
  <c r="E260" i="147"/>
  <c r="E259" s="1"/>
  <c r="F778" i="155"/>
  <c r="E28" i="147"/>
  <c r="E27" s="1"/>
  <c r="G822" i="155"/>
  <c r="F207" i="147"/>
  <c r="F206" s="1"/>
  <c r="F817" i="155"/>
  <c r="E202" i="147"/>
  <c r="E201" s="1"/>
  <c r="F807" i="155"/>
  <c r="F806" s="1"/>
  <c r="F805" s="1"/>
  <c r="E192" i="147"/>
  <c r="E191" s="1"/>
  <c r="E190" s="1"/>
  <c r="E189" s="1"/>
  <c r="G890" i="155"/>
  <c r="G889" s="1"/>
  <c r="G888" s="1"/>
  <c r="G887" s="1"/>
  <c r="G886" s="1"/>
  <c r="G885" s="1"/>
  <c r="F251" i="147"/>
  <c r="F250" s="1"/>
  <c r="F249" s="1"/>
  <c r="F248" s="1"/>
  <c r="G568" i="155"/>
  <c r="G567" s="1"/>
  <c r="G563" s="1"/>
  <c r="F140" i="147"/>
  <c r="F139" s="1"/>
  <c r="F138" s="1"/>
  <c r="E539" i="155"/>
  <c r="E538" s="1"/>
  <c r="D92" i="147"/>
  <c r="D91" s="1"/>
  <c r="D90" s="1"/>
  <c r="G710" i="155"/>
  <c r="G709" s="1"/>
  <c r="F163" i="147"/>
  <c r="F162" s="1"/>
  <c r="F161" s="1"/>
  <c r="E510" i="155"/>
  <c r="E509" s="1"/>
  <c r="D34" i="147"/>
  <c r="D33" s="1"/>
  <c r="D32" s="1"/>
  <c r="E321" i="155"/>
  <c r="E320" s="1"/>
  <c r="E319" s="1"/>
  <c r="D290" i="147"/>
  <c r="D289" s="1"/>
  <c r="D288" s="1"/>
  <c r="D287" s="1"/>
  <c r="F542" i="155"/>
  <c r="F541" s="1"/>
  <c r="E95" i="147"/>
  <c r="E94" s="1"/>
  <c r="E93" s="1"/>
  <c r="F710" i="155"/>
  <c r="F709" s="1"/>
  <c r="E163" i="147"/>
  <c r="E162" s="1"/>
  <c r="E161" s="1"/>
  <c r="F858" i="155"/>
  <c r="F857" s="1"/>
  <c r="F853" s="1"/>
  <c r="E221" i="147"/>
  <c r="E220" s="1"/>
  <c r="E219" s="1"/>
  <c r="E456" i="155"/>
  <c r="E455" s="1"/>
  <c r="D71" i="147"/>
  <c r="D70" s="1"/>
  <c r="D69" s="1"/>
  <c r="F673" i="155"/>
  <c r="E67" i="147"/>
  <c r="E66" s="1"/>
  <c r="F298" i="155"/>
  <c r="F297" s="1"/>
  <c r="F296" s="1"/>
  <c r="E425" i="147"/>
  <c r="E424" s="1"/>
  <c r="E423" s="1"/>
  <c r="E422" s="1"/>
  <c r="E415" s="1"/>
  <c r="G417" i="155"/>
  <c r="G416" s="1"/>
  <c r="G415" s="1"/>
  <c r="F462" i="147"/>
  <c r="F461" s="1"/>
  <c r="E396" i="155"/>
  <c r="E395" s="1"/>
  <c r="D373" i="147"/>
  <c r="D372" s="1"/>
  <c r="D371" s="1"/>
  <c r="F382" i="155"/>
  <c r="E353" i="147"/>
  <c r="E352" s="1"/>
  <c r="E351" s="1"/>
  <c r="E350" s="1"/>
  <c r="G367" i="155"/>
  <c r="G366" s="1"/>
  <c r="F336" i="147"/>
  <c r="F335" s="1"/>
  <c r="F334" s="1"/>
  <c r="E345" i="155"/>
  <c r="E344" s="1"/>
  <c r="D314" i="147"/>
  <c r="D313" s="1"/>
  <c r="D312" s="1"/>
  <c r="F339" i="155"/>
  <c r="F338" s="1"/>
  <c r="F331" s="1"/>
  <c r="E308" i="147"/>
  <c r="E307" s="1"/>
  <c r="E306" s="1"/>
  <c r="E317" i="155"/>
  <c r="E316" s="1"/>
  <c r="E315" s="1"/>
  <c r="D286" i="147"/>
  <c r="D285" s="1"/>
  <c r="D284" s="1"/>
  <c r="D283" s="1"/>
  <c r="G671" i="155"/>
  <c r="F65" i="147"/>
  <c r="F64" s="1"/>
  <c r="G557" i="155"/>
  <c r="G556" s="1"/>
  <c r="F110" i="147"/>
  <c r="F109" s="1"/>
  <c r="F108" s="1"/>
  <c r="F516" i="155"/>
  <c r="F515" s="1"/>
  <c r="E40" i="147"/>
  <c r="E39" s="1"/>
  <c r="E38" s="1"/>
  <c r="F500" i="155"/>
  <c r="F499" s="1"/>
  <c r="F498" s="1"/>
  <c r="E18" i="147"/>
  <c r="E17" s="1"/>
  <c r="E16" s="1"/>
  <c r="G456" i="155"/>
  <c r="G455" s="1"/>
  <c r="F71" i="147"/>
  <c r="F70" s="1"/>
  <c r="F69" s="1"/>
  <c r="E639" i="155"/>
  <c r="E638" s="1"/>
  <c r="E637" s="1"/>
  <c r="E636" s="1"/>
  <c r="E635" s="1"/>
  <c r="E634" s="1"/>
  <c r="C35" i="143" s="1"/>
  <c r="D516" i="147"/>
  <c r="D515" s="1"/>
  <c r="D514" s="1"/>
  <c r="D513" s="1"/>
  <c r="F661" i="155"/>
  <c r="F660" s="1"/>
  <c r="E272" i="147"/>
  <c r="E271" s="1"/>
  <c r="E270" s="1"/>
  <c r="G646" i="155"/>
  <c r="G645" s="1"/>
  <c r="G644" s="1"/>
  <c r="F146" i="147"/>
  <c r="F145" s="1"/>
  <c r="E520" i="155"/>
  <c r="E519" s="1"/>
  <c r="D44" i="147"/>
  <c r="D43" s="1"/>
  <c r="D42" s="1"/>
  <c r="G539" i="155"/>
  <c r="G538" s="1"/>
  <c r="F92" i="147"/>
  <c r="F91" s="1"/>
  <c r="F90" s="1"/>
  <c r="F719" i="155"/>
  <c r="F718" s="1"/>
  <c r="F771"/>
  <c r="E244" i="147"/>
  <c r="E243" s="1"/>
  <c r="G758" i="155"/>
  <c r="F260" i="147"/>
  <c r="F259" s="1"/>
  <c r="G778" i="155"/>
  <c r="F28" i="147"/>
  <c r="F27" s="1"/>
  <c r="F824" i="155"/>
  <c r="E209" i="147"/>
  <c r="E208" s="1"/>
  <c r="G817" i="155"/>
  <c r="F202" i="147"/>
  <c r="F201" s="1"/>
  <c r="G807" i="155"/>
  <c r="G806" s="1"/>
  <c r="G805" s="1"/>
  <c r="F192" i="147"/>
  <c r="F191" s="1"/>
  <c r="F190" s="1"/>
  <c r="F189" s="1"/>
  <c r="E890" i="155"/>
  <c r="E889" s="1"/>
  <c r="D251" i="147"/>
  <c r="D250" s="1"/>
  <c r="D249" s="1"/>
  <c r="G257" i="155"/>
  <c r="G256" s="1"/>
  <c r="F411" i="147"/>
  <c r="F410" s="1"/>
  <c r="F409" s="1"/>
  <c r="E542" i="155"/>
  <c r="E541" s="1"/>
  <c r="D95" i="147"/>
  <c r="D94" s="1"/>
  <c r="D93" s="1"/>
  <c r="E710" i="155"/>
  <c r="E709" s="1"/>
  <c r="D163" i="147"/>
  <c r="D162" s="1"/>
  <c r="D161" s="1"/>
  <c r="E858" i="155"/>
  <c r="E857" s="1"/>
  <c r="E853" s="1"/>
  <c r="D221" i="147"/>
  <c r="D220" s="1"/>
  <c r="D219" s="1"/>
  <c r="E673" i="155"/>
  <c r="D67" i="147"/>
  <c r="D66" s="1"/>
  <c r="G298" i="155"/>
  <c r="G297" s="1"/>
  <c r="G296" s="1"/>
  <c r="F425" i="147"/>
  <c r="F424" s="1"/>
  <c r="F423" s="1"/>
  <c r="F422" s="1"/>
  <c r="F415" s="1"/>
  <c r="G382" i="155"/>
  <c r="F353" i="147"/>
  <c r="F352" s="1"/>
  <c r="F351" s="1"/>
  <c r="F350" s="1"/>
  <c r="E367" i="155"/>
  <c r="E366" s="1"/>
  <c r="D336" i="147"/>
  <c r="D335" s="1"/>
  <c r="D334" s="1"/>
  <c r="F361" i="155"/>
  <c r="F360" s="1"/>
  <c r="E330" i="147"/>
  <c r="E329" s="1"/>
  <c r="E328" s="1"/>
  <c r="G339" i="155"/>
  <c r="G338" s="1"/>
  <c r="G331" s="1"/>
  <c r="F308" i="147"/>
  <c r="F307" s="1"/>
  <c r="F306" s="1"/>
  <c r="F321" i="155"/>
  <c r="F320" s="1"/>
  <c r="F319" s="1"/>
  <c r="E290" i="147"/>
  <c r="E289" s="1"/>
  <c r="E288" s="1"/>
  <c r="E287" s="1"/>
  <c r="E671" i="155"/>
  <c r="D65" i="147"/>
  <c r="D64" s="1"/>
  <c r="E557" i="155"/>
  <c r="E556" s="1"/>
  <c r="D110" i="147"/>
  <c r="D109" s="1"/>
  <c r="D108" s="1"/>
  <c r="G516" i="155"/>
  <c r="G515" s="1"/>
  <c r="F40" i="147"/>
  <c r="F39" s="1"/>
  <c r="F38" s="1"/>
  <c r="G500" i="155"/>
  <c r="G499" s="1"/>
  <c r="G498" s="1"/>
  <c r="F18" i="147"/>
  <c r="F17" s="1"/>
  <c r="F16" s="1"/>
  <c r="F459" i="155"/>
  <c r="F458" s="1"/>
  <c r="E74" i="147"/>
  <c r="E73" s="1"/>
  <c r="E72" s="1"/>
  <c r="F433" i="155"/>
  <c r="F432" s="1"/>
  <c r="E15" i="147"/>
  <c r="E14" s="1"/>
  <c r="E13" s="1"/>
  <c r="G661" i="155"/>
  <c r="G660" s="1"/>
  <c r="F272" i="147"/>
  <c r="F271" s="1"/>
  <c r="F270" s="1"/>
  <c r="E646" i="155"/>
  <c r="E645" s="1"/>
  <c r="E644" s="1"/>
  <c r="D146" i="147"/>
  <c r="D145" s="1"/>
  <c r="F446" i="155"/>
  <c r="F445" s="1"/>
  <c r="F441" s="1"/>
  <c r="E55" i="147"/>
  <c r="E54" s="1"/>
  <c r="E53" s="1"/>
  <c r="F481" i="155"/>
  <c r="F480" s="1"/>
  <c r="E456" i="147"/>
  <c r="E455" s="1"/>
  <c r="E454" s="1"/>
  <c r="G542" i="155"/>
  <c r="G541" s="1"/>
  <c r="F95" i="147"/>
  <c r="F94" s="1"/>
  <c r="F93" s="1"/>
  <c r="G719" i="155"/>
  <c r="G718" s="1"/>
  <c r="G771"/>
  <c r="F244" i="147"/>
  <c r="F243" s="1"/>
  <c r="E756" i="155"/>
  <c r="D258" i="147"/>
  <c r="D257" s="1"/>
  <c r="F780" i="155"/>
  <c r="E30" i="147"/>
  <c r="E29" s="1"/>
  <c r="G824" i="155"/>
  <c r="F209" i="147"/>
  <c r="F208" s="1"/>
  <c r="F819" i="155"/>
  <c r="E204" i="147"/>
  <c r="E203" s="1"/>
  <c r="E807" i="155"/>
  <c r="E806" s="1"/>
  <c r="E805" s="1"/>
  <c r="D192" i="147"/>
  <c r="D191" s="1"/>
  <c r="D190" s="1"/>
  <c r="D189" s="1"/>
  <c r="F849" i="155"/>
  <c r="F848" s="1"/>
  <c r="F847" s="1"/>
  <c r="F846" s="1"/>
  <c r="F845" s="1"/>
  <c r="E116" i="147"/>
  <c r="E115" s="1"/>
  <c r="E114" s="1"/>
  <c r="E549"/>
  <c r="E548" s="1"/>
  <c r="E547" s="1"/>
  <c r="E537" s="1"/>
  <c r="F549"/>
  <c r="F548" s="1"/>
  <c r="F547" s="1"/>
  <c r="D549"/>
  <c r="D548" s="1"/>
  <c r="D547" s="1"/>
  <c r="G609" i="155"/>
  <c r="F609"/>
  <c r="E609"/>
  <c r="G831"/>
  <c r="G830" s="1"/>
  <c r="E831"/>
  <c r="E830" s="1"/>
  <c r="F831"/>
  <c r="F830" s="1"/>
  <c r="G867"/>
  <c r="F737"/>
  <c r="F736" s="1"/>
  <c r="G737"/>
  <c r="G736" s="1"/>
  <c r="E737"/>
  <c r="E736" s="1"/>
  <c r="E687"/>
  <c r="G687"/>
  <c r="F687"/>
  <c r="F621"/>
  <c r="F620" s="1"/>
  <c r="G621"/>
  <c r="G620" s="1"/>
  <c r="E621"/>
  <c r="E620" s="1"/>
  <c r="E299" i="147" l="1"/>
  <c r="F299"/>
  <c r="E441" i="155"/>
  <c r="E331"/>
  <c r="D299" i="147"/>
  <c r="F431" i="155"/>
  <c r="F131" i="147"/>
  <c r="F555" i="155"/>
  <c r="F554" s="1"/>
  <c r="G555"/>
  <c r="G554" s="1"/>
  <c r="E555"/>
  <c r="E554" s="1"/>
  <c r="E686"/>
  <c r="E685" s="1"/>
  <c r="E684" s="1"/>
  <c r="F686"/>
  <c r="F685" s="1"/>
  <c r="F684" s="1"/>
  <c r="G686"/>
  <c r="G685" s="1"/>
  <c r="G684" s="1"/>
  <c r="E12" i="147"/>
  <c r="E431" i="155"/>
  <c r="D12" i="147"/>
  <c r="F12"/>
  <c r="F359" i="155"/>
  <c r="F330" s="1"/>
  <c r="G431"/>
  <c r="F215" i="147"/>
  <c r="F214" s="1"/>
  <c r="D215"/>
  <c r="D214" s="1"/>
  <c r="E215"/>
  <c r="E214" s="1"/>
  <c r="E131"/>
  <c r="F399" i="155"/>
  <c r="E399"/>
  <c r="G399"/>
  <c r="F289"/>
  <c r="F288" s="1"/>
  <c r="F287" s="1"/>
  <c r="D28" i="143" s="1"/>
  <c r="G289" i="155"/>
  <c r="G288" s="1"/>
  <c r="G287" s="1"/>
  <c r="E28" i="143" s="1"/>
  <c r="E289" i="155"/>
  <c r="E288" s="1"/>
  <c r="E287" s="1"/>
  <c r="C28" i="143" s="1"/>
  <c r="G475" i="155"/>
  <c r="G474" s="1"/>
  <c r="G469" s="1"/>
  <c r="G468" s="1"/>
  <c r="D131" i="147"/>
  <c r="E327"/>
  <c r="E359" i="155"/>
  <c r="D327" i="147"/>
  <c r="G359" i="155"/>
  <c r="F327" i="147"/>
  <c r="D256"/>
  <c r="D255" s="1"/>
  <c r="F659" i="155"/>
  <c r="F658" s="1"/>
  <c r="F652" s="1"/>
  <c r="F562"/>
  <c r="G768"/>
  <c r="G767" s="1"/>
  <c r="G762" s="1"/>
  <c r="G761" s="1"/>
  <c r="G760" s="1"/>
  <c r="E42" i="143" s="1"/>
  <c r="D41" i="147"/>
  <c r="F41"/>
  <c r="E41"/>
  <c r="F852" i="155"/>
  <c r="F851" s="1"/>
  <c r="F844" s="1"/>
  <c r="D47" i="143" s="1"/>
  <c r="E852" i="155"/>
  <c r="E851" s="1"/>
  <c r="E844" s="1"/>
  <c r="C47" i="143" s="1"/>
  <c r="G852" i="155"/>
  <c r="G851" s="1"/>
  <c r="G844" s="1"/>
  <c r="E47" i="143" s="1"/>
  <c r="E643" i="155"/>
  <c r="E642" s="1"/>
  <c r="E705"/>
  <c r="E704" s="1"/>
  <c r="G675"/>
  <c r="F537"/>
  <c r="G670"/>
  <c r="G669" s="1"/>
  <c r="G668" s="1"/>
  <c r="F63" i="147"/>
  <c r="F62" s="1"/>
  <c r="E142"/>
  <c r="E141" s="1"/>
  <c r="E518" i="155"/>
  <c r="G414"/>
  <c r="G413" s="1"/>
  <c r="E755"/>
  <c r="E754" s="1"/>
  <c r="E753" s="1"/>
  <c r="E752" s="1"/>
  <c r="E751" s="1"/>
  <c r="C41" i="143" s="1"/>
  <c r="F448" i="147"/>
  <c r="E391" i="155"/>
  <c r="E390" s="1"/>
  <c r="D142" i="147"/>
  <c r="D141" s="1"/>
  <c r="F670" i="155"/>
  <c r="F669" s="1"/>
  <c r="F668" s="1"/>
  <c r="E323"/>
  <c r="E314" s="1"/>
  <c r="F474"/>
  <c r="F469" s="1"/>
  <c r="F468" s="1"/>
  <c r="G814"/>
  <c r="F142" i="147"/>
  <c r="F141" s="1"/>
  <c r="G537" i="155"/>
  <c r="E562"/>
  <c r="G821"/>
  <c r="G755"/>
  <c r="G754" s="1"/>
  <c r="G753" s="1"/>
  <c r="G752" s="1"/>
  <c r="G751" s="1"/>
  <c r="E41" i="143" s="1"/>
  <c r="E675" i="155"/>
  <c r="E768"/>
  <c r="E767" s="1"/>
  <c r="E762" s="1"/>
  <c r="E761" s="1"/>
  <c r="E760" s="1"/>
  <c r="C42" i="143" s="1"/>
  <c r="E670" i="155"/>
  <c r="E669" s="1"/>
  <c r="E668" s="1"/>
  <c r="E888"/>
  <c r="E887" s="1"/>
  <c r="E886" s="1"/>
  <c r="E885" s="1"/>
  <c r="C49" i="143" s="1"/>
  <c r="C48" s="1"/>
  <c r="G391" i="155"/>
  <c r="G390" s="1"/>
  <c r="E454"/>
  <c r="D31" i="147"/>
  <c r="D448"/>
  <c r="F26"/>
  <c r="F25" s="1"/>
  <c r="F169"/>
  <c r="F168" s="1"/>
  <c r="E169"/>
  <c r="E168" s="1"/>
  <c r="F454" i="155"/>
  <c r="F821"/>
  <c r="E814"/>
  <c r="F675"/>
  <c r="G518"/>
  <c r="G562"/>
  <c r="F414"/>
  <c r="F413" s="1"/>
  <c r="F518"/>
  <c r="F269" i="147"/>
  <c r="D248"/>
  <c r="E269"/>
  <c r="F68"/>
  <c r="D68"/>
  <c r="E248"/>
  <c r="F777" i="155"/>
  <c r="F776" s="1"/>
  <c r="F775" s="1"/>
  <c r="F774" s="1"/>
  <c r="F773" s="1"/>
  <c r="D43" i="143" s="1"/>
  <c r="G659" i="155"/>
  <c r="G658" s="1"/>
  <c r="G652" s="1"/>
  <c r="E537"/>
  <c r="F768"/>
  <c r="F767" s="1"/>
  <c r="F762" s="1"/>
  <c r="F761" s="1"/>
  <c r="F760" s="1"/>
  <c r="D42" i="143" s="1"/>
  <c r="G454" i="155"/>
  <c r="F705"/>
  <c r="F704" s="1"/>
  <c r="F888"/>
  <c r="F887" s="1"/>
  <c r="F886" s="1"/>
  <c r="F885" s="1"/>
  <c r="D49" i="143" s="1"/>
  <c r="D48" s="1"/>
  <c r="F508" i="155"/>
  <c r="G323"/>
  <c r="G314" s="1"/>
  <c r="F755"/>
  <c r="F754" s="1"/>
  <c r="F753" s="1"/>
  <c r="F752" s="1"/>
  <c r="F751" s="1"/>
  <c r="D41" i="143" s="1"/>
  <c r="E414" i="155"/>
  <c r="E413" s="1"/>
  <c r="F717"/>
  <c r="F716" s="1"/>
  <c r="E777"/>
  <c r="E776" s="1"/>
  <c r="E775" s="1"/>
  <c r="E774" s="1"/>
  <c r="E773" s="1"/>
  <c r="C43" i="143" s="1"/>
  <c r="G717" i="155"/>
  <c r="G716" s="1"/>
  <c r="E474"/>
  <c r="E469" s="1"/>
  <c r="E468" s="1"/>
  <c r="E821"/>
  <c r="G705"/>
  <c r="G704" s="1"/>
  <c r="G643"/>
  <c r="G642" s="1"/>
  <c r="E508"/>
  <c r="F323"/>
  <c r="F314" s="1"/>
  <c r="G777"/>
  <c r="G776" s="1"/>
  <c r="G775" s="1"/>
  <c r="G774" s="1"/>
  <c r="G773" s="1"/>
  <c r="E43" i="143" s="1"/>
  <c r="F643" i="155"/>
  <c r="F642" s="1"/>
  <c r="F391"/>
  <c r="F390" s="1"/>
  <c r="E717"/>
  <c r="E716" s="1"/>
  <c r="G508"/>
  <c r="E659"/>
  <c r="E658" s="1"/>
  <c r="E652" s="1"/>
  <c r="F814"/>
  <c r="D89" i="147"/>
  <c r="F240"/>
  <c r="E89"/>
  <c r="D26"/>
  <c r="D25" s="1"/>
  <c r="F608" i="155"/>
  <c r="F607" s="1"/>
  <c r="F600" s="1"/>
  <c r="E119" i="147"/>
  <c r="E118" s="1"/>
  <c r="E117" s="1"/>
  <c r="E107" s="1"/>
  <c r="E608" i="155"/>
  <c r="E607" s="1"/>
  <c r="E600" s="1"/>
  <c r="D119" i="147"/>
  <c r="D118" s="1"/>
  <c r="D117" s="1"/>
  <c r="D107" s="1"/>
  <c r="E198"/>
  <c r="E256"/>
  <c r="E255" s="1"/>
  <c r="D269"/>
  <c r="F157"/>
  <c r="F156" s="1"/>
  <c r="E291"/>
  <c r="E282" s="1"/>
  <c r="E367"/>
  <c r="E366" s="1"/>
  <c r="D169"/>
  <c r="D168" s="1"/>
  <c r="E26"/>
  <c r="E25" s="1"/>
  <c r="E68"/>
  <c r="E205"/>
  <c r="E240"/>
  <c r="D157"/>
  <c r="D156" s="1"/>
  <c r="F291"/>
  <c r="F282" s="1"/>
  <c r="F367"/>
  <c r="F366" s="1"/>
  <c r="D198"/>
  <c r="D205"/>
  <c r="E157"/>
  <c r="E156" s="1"/>
  <c r="G608" i="155"/>
  <c r="G607" s="1"/>
  <c r="G600" s="1"/>
  <c r="F119" i="147"/>
  <c r="F118" s="1"/>
  <c r="F117" s="1"/>
  <c r="F107" s="1"/>
  <c r="D63"/>
  <c r="D62" s="1"/>
  <c r="F89"/>
  <c r="F205"/>
  <c r="E63"/>
  <c r="E62" s="1"/>
  <c r="D291"/>
  <c r="D282" s="1"/>
  <c r="F198"/>
  <c r="F256"/>
  <c r="F255" s="1"/>
  <c r="E31"/>
  <c r="D367"/>
  <c r="D366" s="1"/>
  <c r="F31"/>
  <c r="E448"/>
  <c r="D240"/>
  <c r="G884" i="155"/>
  <c r="E49" i="143"/>
  <c r="E48" s="1"/>
  <c r="F504" i="154"/>
  <c r="F503" s="1"/>
  <c r="F502" s="1"/>
  <c r="H504"/>
  <c r="H503" s="1"/>
  <c r="H502" s="1"/>
  <c r="G504"/>
  <c r="G503" s="1"/>
  <c r="G502" s="1"/>
  <c r="H806"/>
  <c r="H805" s="1"/>
  <c r="G806"/>
  <c r="G805" s="1"/>
  <c r="F806"/>
  <c r="F805" s="1"/>
  <c r="G556"/>
  <c r="G555" s="1"/>
  <c r="G554" s="1"/>
  <c r="G553" s="1"/>
  <c r="G552" s="1"/>
  <c r="G551" s="1"/>
  <c r="H556"/>
  <c r="H555" s="1"/>
  <c r="H554" s="1"/>
  <c r="H553" s="1"/>
  <c r="H552" s="1"/>
  <c r="H551" s="1"/>
  <c r="F556"/>
  <c r="F555" s="1"/>
  <c r="F554" s="1"/>
  <c r="F553" s="1"/>
  <c r="F552" s="1"/>
  <c r="F551" s="1"/>
  <c r="D298" i="147" l="1"/>
  <c r="D281" s="1"/>
  <c r="G398" i="155"/>
  <c r="E30" i="143" s="1"/>
  <c r="D106" i="147"/>
  <c r="F106"/>
  <c r="E106"/>
  <c r="F298"/>
  <c r="F281" s="1"/>
  <c r="F398" i="155"/>
  <c r="D30" i="143" s="1"/>
  <c r="E398" i="155"/>
  <c r="C30" i="143" s="1"/>
  <c r="E298" i="147"/>
  <c r="E281" s="1"/>
  <c r="E330" i="155"/>
  <c r="E313" s="1"/>
  <c r="E312" s="1"/>
  <c r="C29" i="143" s="1"/>
  <c r="G330" i="155"/>
  <c r="G313" s="1"/>
  <c r="G312" s="1"/>
  <c r="E29" i="143" s="1"/>
  <c r="F497" i="155"/>
  <c r="F496" s="1"/>
  <c r="E497"/>
  <c r="E496" s="1"/>
  <c r="D11" i="147"/>
  <c r="E11"/>
  <c r="F11"/>
  <c r="G497" i="155"/>
  <c r="G496" s="1"/>
  <c r="F641"/>
  <c r="D36" i="143" s="1"/>
  <c r="G599" i="155"/>
  <c r="G598" s="1"/>
  <c r="G597" s="1"/>
  <c r="E34" i="143" s="1"/>
  <c r="F599" i="155"/>
  <c r="F598" s="1"/>
  <c r="F597" s="1"/>
  <c r="D34" i="143" s="1"/>
  <c r="E599" i="155"/>
  <c r="E598" s="1"/>
  <c r="E597" s="1"/>
  <c r="C34" i="143" s="1"/>
  <c r="E641" i="155"/>
  <c r="C36" i="143" s="1"/>
  <c r="G667" i="155"/>
  <c r="G666" s="1"/>
  <c r="E37" i="143" s="1"/>
  <c r="D130" i="147"/>
  <c r="E430" i="155"/>
  <c r="E429" s="1"/>
  <c r="E428" s="1"/>
  <c r="C32" i="143" s="1"/>
  <c r="F430" i="155"/>
  <c r="F429" s="1"/>
  <c r="F428" s="1"/>
  <c r="D32" i="143" s="1"/>
  <c r="F313" i="155"/>
  <c r="F312" s="1"/>
  <c r="D29" i="143" s="1"/>
  <c r="G430" i="155"/>
  <c r="G429" s="1"/>
  <c r="G428" s="1"/>
  <c r="E32" i="143" s="1"/>
  <c r="E130" i="147"/>
  <c r="F813" i="155"/>
  <c r="F804" s="1"/>
  <c r="F803" s="1"/>
  <c r="F802" s="1"/>
  <c r="D46" i="143" s="1"/>
  <c r="D44" s="1"/>
  <c r="E703" i="155"/>
  <c r="E696" s="1"/>
  <c r="E695" s="1"/>
  <c r="G813"/>
  <c r="G804" s="1"/>
  <c r="G803" s="1"/>
  <c r="G802" s="1"/>
  <c r="E46" i="143" s="1"/>
  <c r="E44" s="1"/>
  <c r="F130" i="147"/>
  <c r="E667" i="155"/>
  <c r="E666" s="1"/>
  <c r="C37" i="143" s="1"/>
  <c r="E884" i="155"/>
  <c r="F667"/>
  <c r="F666" s="1"/>
  <c r="D37" i="143" s="1"/>
  <c r="G641" i="155"/>
  <c r="E36" i="143" s="1"/>
  <c r="G703" i="155"/>
  <c r="G696" s="1"/>
  <c r="E39" i="143" s="1"/>
  <c r="E38" s="1"/>
  <c r="E813" i="155"/>
  <c r="E804" s="1"/>
  <c r="E803" s="1"/>
  <c r="E802" s="1"/>
  <c r="C46" i="143" s="1"/>
  <c r="C44" s="1"/>
  <c r="F884" i="155"/>
  <c r="F703"/>
  <c r="F696" s="1"/>
  <c r="F695" s="1"/>
  <c r="E197" i="147"/>
  <c r="E188" s="1"/>
  <c r="G750" i="155"/>
  <c r="C40" i="143"/>
  <c r="E40"/>
  <c r="D197" i="147"/>
  <c r="D188" s="1"/>
  <c r="D40" i="143"/>
  <c r="F750" i="155"/>
  <c r="E750"/>
  <c r="F197" i="147"/>
  <c r="F188" s="1"/>
  <c r="F385" i="154"/>
  <c r="F384" s="1"/>
  <c r="G385"/>
  <c r="G384" s="1"/>
  <c r="H385"/>
  <c r="H384" s="1"/>
  <c r="F378"/>
  <c r="F377" s="1"/>
  <c r="F373" s="1"/>
  <c r="F358"/>
  <c r="F357" s="1"/>
  <c r="H333"/>
  <c r="H332" s="1"/>
  <c r="H331" s="1"/>
  <c r="G333"/>
  <c r="G332" s="1"/>
  <c r="G331" s="1"/>
  <c r="F333"/>
  <c r="F332" s="1"/>
  <c r="F331" s="1"/>
  <c r="F325"/>
  <c r="F324" s="1"/>
  <c r="F323" s="1"/>
  <c r="G306"/>
  <c r="G305" s="1"/>
  <c r="G304" s="1"/>
  <c r="H306"/>
  <c r="H305" s="1"/>
  <c r="H304" s="1"/>
  <c r="F306"/>
  <c r="F305" s="1"/>
  <c r="F304" s="1"/>
  <c r="G179"/>
  <c r="G178" s="1"/>
  <c r="H169"/>
  <c r="H168" s="1"/>
  <c r="G169"/>
  <c r="G168" s="1"/>
  <c r="F169"/>
  <c r="F168" s="1"/>
  <c r="G223"/>
  <c r="G222" s="1"/>
  <c r="G221" s="1"/>
  <c r="G214" s="1"/>
  <c r="H223"/>
  <c r="H222" s="1"/>
  <c r="H221" s="1"/>
  <c r="H214" s="1"/>
  <c r="F223"/>
  <c r="F222" s="1"/>
  <c r="F221" s="1"/>
  <c r="F214" s="1"/>
  <c r="H179"/>
  <c r="H178" s="1"/>
  <c r="F179"/>
  <c r="F178" s="1"/>
  <c r="G358"/>
  <c r="G357" s="1"/>
  <c r="H358"/>
  <c r="H357" s="1"/>
  <c r="F365"/>
  <c r="F364" s="1"/>
  <c r="F363" s="1"/>
  <c r="G371"/>
  <c r="G370" s="1"/>
  <c r="G369" s="1"/>
  <c r="H371"/>
  <c r="H370" s="1"/>
  <c r="H369" s="1"/>
  <c r="F371"/>
  <c r="F370" s="1"/>
  <c r="F369" s="1"/>
  <c r="G378"/>
  <c r="G377" s="1"/>
  <c r="G373" s="1"/>
  <c r="H378"/>
  <c r="H377" s="1"/>
  <c r="H373" s="1"/>
  <c r="F322" l="1"/>
  <c r="D10" i="147"/>
  <c r="E10"/>
  <c r="F794" i="155"/>
  <c r="F10" i="147"/>
  <c r="C39" i="143"/>
  <c r="C38" s="1"/>
  <c r="G794" i="155"/>
  <c r="E794"/>
  <c r="G695"/>
  <c r="D39" i="143"/>
  <c r="D38" s="1"/>
  <c r="F368" i="154"/>
  <c r="F367" s="1"/>
  <c r="G368"/>
  <c r="G367" s="1"/>
  <c r="H368"/>
  <c r="H367" s="1"/>
  <c r="G998" l="1"/>
  <c r="G997" s="1"/>
  <c r="G996" s="1"/>
  <c r="G995" s="1"/>
  <c r="G994" s="1"/>
  <c r="G993" s="1"/>
  <c r="G992" s="1"/>
  <c r="H998"/>
  <c r="H997" s="1"/>
  <c r="H996" s="1"/>
  <c r="H995" s="1"/>
  <c r="H994" s="1"/>
  <c r="H993" s="1"/>
  <c r="H992" s="1"/>
  <c r="F998"/>
  <c r="F997" s="1"/>
  <c r="F996" s="1"/>
  <c r="F995" s="1"/>
  <c r="F994" s="1"/>
  <c r="F993" s="1"/>
  <c r="F992" s="1"/>
  <c r="G958"/>
  <c r="H958"/>
  <c r="F958"/>
  <c r="F286" i="155" l="1"/>
  <c r="G286"/>
  <c r="E286"/>
  <c r="F273"/>
  <c r="G273"/>
  <c r="E273"/>
  <c r="F278"/>
  <c r="G278"/>
  <c r="E278"/>
  <c r="F226"/>
  <c r="G226"/>
  <c r="E226"/>
  <c r="F230"/>
  <c r="G230"/>
  <c r="E230"/>
  <c r="F236"/>
  <c r="G236"/>
  <c r="E236"/>
  <c r="F232"/>
  <c r="F231" s="1"/>
  <c r="G232"/>
  <c r="G231" s="1"/>
  <c r="E232"/>
  <c r="E231" s="1"/>
  <c r="F245"/>
  <c r="F244" s="1"/>
  <c r="G245"/>
  <c r="G244" s="1"/>
  <c r="E245"/>
  <c r="E244" s="1"/>
  <c r="F242"/>
  <c r="F241" s="1"/>
  <c r="F237" s="1"/>
  <c r="G242"/>
  <c r="G241" s="1"/>
  <c r="G237" s="1"/>
  <c r="E242"/>
  <c r="E241" s="1"/>
  <c r="F251"/>
  <c r="G251"/>
  <c r="E251"/>
  <c r="F255"/>
  <c r="G255"/>
  <c r="E255"/>
  <c r="F261"/>
  <c r="G261"/>
  <c r="E261"/>
  <c r="F213"/>
  <c r="G213"/>
  <c r="E213"/>
  <c r="F209"/>
  <c r="G209"/>
  <c r="E209"/>
  <c r="F218"/>
  <c r="G218"/>
  <c r="E218"/>
  <c r="F202"/>
  <c r="F201" s="1"/>
  <c r="F200" s="1"/>
  <c r="F199" s="1"/>
  <c r="F198" s="1"/>
  <c r="F197" s="1"/>
  <c r="F196" s="1"/>
  <c r="D21" i="143" s="1"/>
  <c r="G202" i="155"/>
  <c r="G201" s="1"/>
  <c r="G200" s="1"/>
  <c r="G199" s="1"/>
  <c r="G198" s="1"/>
  <c r="G197" s="1"/>
  <c r="G196" s="1"/>
  <c r="E21" i="143" s="1"/>
  <c r="E202" i="155"/>
  <c r="E201" s="1"/>
  <c r="E200" s="1"/>
  <c r="E199" s="1"/>
  <c r="E198" s="1"/>
  <c r="E197" s="1"/>
  <c r="E196" s="1"/>
  <c r="C21" i="143" s="1"/>
  <c r="F190" i="155"/>
  <c r="F189" s="1"/>
  <c r="G190"/>
  <c r="G189" s="1"/>
  <c r="F192"/>
  <c r="F191" s="1"/>
  <c r="G192"/>
  <c r="G191" s="1"/>
  <c r="F194"/>
  <c r="F193" s="1"/>
  <c r="G194"/>
  <c r="G193" s="1"/>
  <c r="E190"/>
  <c r="E189" s="1"/>
  <c r="E192"/>
  <c r="E191" s="1"/>
  <c r="E194"/>
  <c r="E193" s="1"/>
  <c r="F180"/>
  <c r="F179" s="1"/>
  <c r="F178" s="1"/>
  <c r="F177" s="1"/>
  <c r="G180"/>
  <c r="G179" s="1"/>
  <c r="G178" s="1"/>
  <c r="G177" s="1"/>
  <c r="E180"/>
  <c r="E179" s="1"/>
  <c r="E178" s="1"/>
  <c r="E177" s="1"/>
  <c r="F183"/>
  <c r="F182" s="1"/>
  <c r="F181" s="1"/>
  <c r="G183"/>
  <c r="G182" s="1"/>
  <c r="G181" s="1"/>
  <c r="E183"/>
  <c r="E182" s="1"/>
  <c r="E181" s="1"/>
  <c r="F156"/>
  <c r="G156"/>
  <c r="E156"/>
  <c r="F159"/>
  <c r="G159"/>
  <c r="E159"/>
  <c r="F163"/>
  <c r="G163"/>
  <c r="E163"/>
  <c r="F168"/>
  <c r="G168"/>
  <c r="E168"/>
  <c r="F142"/>
  <c r="G142"/>
  <c r="E142"/>
  <c r="F147"/>
  <c r="G147"/>
  <c r="E147"/>
  <c r="F136"/>
  <c r="G136"/>
  <c r="E136"/>
  <c r="F132"/>
  <c r="G132"/>
  <c r="E132"/>
  <c r="F128"/>
  <c r="G128"/>
  <c r="E128"/>
  <c r="F123"/>
  <c r="E435" i="147" s="1"/>
  <c r="E434" s="1"/>
  <c r="E433" s="1"/>
  <c r="E432" s="1"/>
  <c r="G123" i="155"/>
  <c r="F435" i="147" s="1"/>
  <c r="F434" s="1"/>
  <c r="F433" s="1"/>
  <c r="F432" s="1"/>
  <c r="E123" i="155"/>
  <c r="D435" i="147" s="1"/>
  <c r="D434" s="1"/>
  <c r="D433" s="1"/>
  <c r="D432" s="1"/>
  <c r="F114" i="155"/>
  <c r="E264" i="147" s="1"/>
  <c r="G114" i="155"/>
  <c r="F264" i="147" s="1"/>
  <c r="F117" i="155"/>
  <c r="E268" i="147" s="1"/>
  <c r="E267" s="1"/>
  <c r="E266" s="1"/>
  <c r="G117" i="155"/>
  <c r="F268" i="147" s="1"/>
  <c r="F267" s="1"/>
  <c r="F266" s="1"/>
  <c r="E117" i="155"/>
  <c r="D268" i="147" s="1"/>
  <c r="D267" s="1"/>
  <c r="D266" s="1"/>
  <c r="E114" i="155"/>
  <c r="D264" i="147" s="1"/>
  <c r="F110" i="155"/>
  <c r="E247" i="147" s="1"/>
  <c r="E246" s="1"/>
  <c r="E245" s="1"/>
  <c r="G110" i="155"/>
  <c r="F247" i="147" s="1"/>
  <c r="F246" s="1"/>
  <c r="F245" s="1"/>
  <c r="E110" i="155"/>
  <c r="D247" i="147" s="1"/>
  <c r="D246" s="1"/>
  <c r="D245" s="1"/>
  <c r="F105" i="155"/>
  <c r="E237" i="147" s="1"/>
  <c r="E236" s="1"/>
  <c r="G105" i="155"/>
  <c r="F237" i="147" s="1"/>
  <c r="F236" s="1"/>
  <c r="F107" i="155"/>
  <c r="E239" i="147" s="1"/>
  <c r="E238" s="1"/>
  <c r="G107" i="155"/>
  <c r="F239" i="147" s="1"/>
  <c r="F238" s="1"/>
  <c r="E105" i="155"/>
  <c r="D237" i="147" s="1"/>
  <c r="D236" s="1"/>
  <c r="E107" i="155"/>
  <c r="D239" i="147" s="1"/>
  <c r="D238" s="1"/>
  <c r="F98" i="155"/>
  <c r="F97" s="1"/>
  <c r="F96" s="1"/>
  <c r="F95" s="1"/>
  <c r="F94" s="1"/>
  <c r="F93" s="1"/>
  <c r="D18" i="143" s="1"/>
  <c r="G98" i="155"/>
  <c r="G97" s="1"/>
  <c r="G96" s="1"/>
  <c r="G95" s="1"/>
  <c r="G94" s="1"/>
  <c r="G93" s="1"/>
  <c r="E18" i="143" s="1"/>
  <c r="E98" i="155"/>
  <c r="E97" s="1"/>
  <c r="E96" s="1"/>
  <c r="E95" s="1"/>
  <c r="E94" s="1"/>
  <c r="E93" s="1"/>
  <c r="C18" i="143" s="1"/>
  <c r="F92" i="155"/>
  <c r="E265" i="147" s="1"/>
  <c r="G92" i="155"/>
  <c r="F265" i="147" s="1"/>
  <c r="F263" s="1"/>
  <c r="F262" s="1"/>
  <c r="E92" i="155"/>
  <c r="D265" i="147" s="1"/>
  <c r="F84" i="155"/>
  <c r="F83" s="1"/>
  <c r="F82" s="1"/>
  <c r="F81" s="1"/>
  <c r="F80" s="1"/>
  <c r="D16" i="143" s="1"/>
  <c r="G84" i="155"/>
  <c r="G83" s="1"/>
  <c r="G82" s="1"/>
  <c r="G81" s="1"/>
  <c r="G80" s="1"/>
  <c r="E16" i="143" s="1"/>
  <c r="E84" i="155"/>
  <c r="E83" s="1"/>
  <c r="E82" s="1"/>
  <c r="E81" s="1"/>
  <c r="E80" s="1"/>
  <c r="C16" i="143" s="1"/>
  <c r="F69" i="155"/>
  <c r="F68" s="1"/>
  <c r="F67" s="1"/>
  <c r="G69"/>
  <c r="G68" s="1"/>
  <c r="G67" s="1"/>
  <c r="E69"/>
  <c r="E68" s="1"/>
  <c r="E67" s="1"/>
  <c r="F61"/>
  <c r="F60" s="1"/>
  <c r="G61"/>
  <c r="G60" s="1"/>
  <c r="F63"/>
  <c r="G63"/>
  <c r="E63"/>
  <c r="E61"/>
  <c r="E60" s="1"/>
  <c r="F54"/>
  <c r="F53" s="1"/>
  <c r="F52" s="1"/>
  <c r="F51" s="1"/>
  <c r="F50" s="1"/>
  <c r="F49" s="1"/>
  <c r="D14" i="143" s="1"/>
  <c r="G54" i="155"/>
  <c r="G53" s="1"/>
  <c r="G52" s="1"/>
  <c r="G51" s="1"/>
  <c r="G50" s="1"/>
  <c r="G49" s="1"/>
  <c r="E14" i="143" s="1"/>
  <c r="E54" i="155"/>
  <c r="E53" s="1"/>
  <c r="E52" s="1"/>
  <c r="E51" s="1"/>
  <c r="E50" s="1"/>
  <c r="E49" s="1"/>
  <c r="C14" i="143" s="1"/>
  <c r="F43" i="155"/>
  <c r="G43"/>
  <c r="F45"/>
  <c r="F44" s="1"/>
  <c r="G45"/>
  <c r="G44" s="1"/>
  <c r="E45"/>
  <c r="E44" s="1"/>
  <c r="E43"/>
  <c r="F40"/>
  <c r="F39" s="1"/>
  <c r="F38" s="1"/>
  <c r="G40"/>
  <c r="G39" s="1"/>
  <c r="G38" s="1"/>
  <c r="E40"/>
  <c r="E39" s="1"/>
  <c r="E38" s="1"/>
  <c r="F23"/>
  <c r="F22" s="1"/>
  <c r="G23"/>
  <c r="G22" s="1"/>
  <c r="F25"/>
  <c r="F24" s="1"/>
  <c r="G25"/>
  <c r="G24" s="1"/>
  <c r="E25"/>
  <c r="E24" s="1"/>
  <c r="E23"/>
  <c r="E22" s="1"/>
  <c r="F16"/>
  <c r="F15" s="1"/>
  <c r="F14" s="1"/>
  <c r="F13" s="1"/>
  <c r="F12" s="1"/>
  <c r="F11" s="1"/>
  <c r="D11" i="143" s="1"/>
  <c r="G16" i="155"/>
  <c r="G15" s="1"/>
  <c r="G14" s="1"/>
  <c r="G13" s="1"/>
  <c r="G12" s="1"/>
  <c r="G11" s="1"/>
  <c r="E11" i="143" s="1"/>
  <c r="E16" i="155"/>
  <c r="E15" s="1"/>
  <c r="E14" s="1"/>
  <c r="E13" s="1"/>
  <c r="E12" s="1"/>
  <c r="E11" s="1"/>
  <c r="D263" i="147" l="1"/>
  <c r="D262" s="1"/>
  <c r="D261" s="1"/>
  <c r="C11" i="143"/>
  <c r="E237" i="155"/>
  <c r="F261" i="147"/>
  <c r="D235"/>
  <c r="D234" s="1"/>
  <c r="G127" i="155"/>
  <c r="G126" s="1"/>
  <c r="G125" s="1"/>
  <c r="F460" i="147"/>
  <c r="F459" s="1"/>
  <c r="F458" s="1"/>
  <c r="F457" s="1"/>
  <c r="E146" i="155"/>
  <c r="E145" s="1"/>
  <c r="D485" i="147"/>
  <c r="D484" s="1"/>
  <c r="D483" s="1"/>
  <c r="F167" i="155"/>
  <c r="F166" s="1"/>
  <c r="F165" s="1"/>
  <c r="F164" s="1"/>
  <c r="E520" i="147"/>
  <c r="E519" s="1"/>
  <c r="E518" s="1"/>
  <c r="E517" s="1"/>
  <c r="E512" s="1"/>
  <c r="G155" i="155"/>
  <c r="G154" s="1"/>
  <c r="F504" i="147"/>
  <c r="F503" s="1"/>
  <c r="F502" s="1"/>
  <c r="G208" i="155"/>
  <c r="G207" s="1"/>
  <c r="G206" s="1"/>
  <c r="F431" i="147"/>
  <c r="F430" s="1"/>
  <c r="F429" s="1"/>
  <c r="F428" s="1"/>
  <c r="E254" i="155"/>
  <c r="E253" s="1"/>
  <c r="D408" i="147"/>
  <c r="D407" s="1"/>
  <c r="D406" s="1"/>
  <c r="G235" i="155"/>
  <c r="G234" s="1"/>
  <c r="F389" i="147"/>
  <c r="F388" s="1"/>
  <c r="F387" s="1"/>
  <c r="E277" i="155"/>
  <c r="E276" s="1"/>
  <c r="E275" s="1"/>
  <c r="E274" s="1"/>
  <c r="D525" i="147"/>
  <c r="D524" s="1"/>
  <c r="D523" s="1"/>
  <c r="D522" s="1"/>
  <c r="D521" s="1"/>
  <c r="F285" i="155"/>
  <c r="F284" s="1"/>
  <c r="F283" s="1"/>
  <c r="F282" s="1"/>
  <c r="F281" s="1"/>
  <c r="F280" s="1"/>
  <c r="D27" i="143" s="1"/>
  <c r="D26" s="1"/>
  <c r="E488" i="147"/>
  <c r="E487" s="1"/>
  <c r="E486" s="1"/>
  <c r="E127" i="155"/>
  <c r="E126" s="1"/>
  <c r="E125" s="1"/>
  <c r="D460" i="147"/>
  <c r="D459" s="1"/>
  <c r="D458" s="1"/>
  <c r="D457" s="1"/>
  <c r="F135" i="155"/>
  <c r="F134" s="1"/>
  <c r="F133" s="1"/>
  <c r="E472" i="147"/>
  <c r="E471" s="1"/>
  <c r="E470" s="1"/>
  <c r="E469" s="1"/>
  <c r="G167" i="155"/>
  <c r="G166" s="1"/>
  <c r="G165" s="1"/>
  <c r="G164" s="1"/>
  <c r="F520" i="147"/>
  <c r="F519" s="1"/>
  <c r="F518" s="1"/>
  <c r="F517" s="1"/>
  <c r="F512" s="1"/>
  <c r="E155" i="155"/>
  <c r="E154" s="1"/>
  <c r="D504" i="147"/>
  <c r="D503" s="1"/>
  <c r="D502" s="1"/>
  <c r="E208" i="155"/>
  <c r="E207" s="1"/>
  <c r="E206" s="1"/>
  <c r="D431" i="147"/>
  <c r="D430" s="1"/>
  <c r="D429" s="1"/>
  <c r="D428" s="1"/>
  <c r="F260" i="155"/>
  <c r="F259" s="1"/>
  <c r="E414" i="147"/>
  <c r="E413" s="1"/>
  <c r="E412" s="1"/>
  <c r="E235" i="155"/>
  <c r="E234" s="1"/>
  <c r="D389" i="147"/>
  <c r="D388" s="1"/>
  <c r="D387" s="1"/>
  <c r="F225" i="155"/>
  <c r="F224" s="1"/>
  <c r="F223" s="1"/>
  <c r="E379" i="147"/>
  <c r="E378" s="1"/>
  <c r="E377" s="1"/>
  <c r="E376" s="1"/>
  <c r="G285" i="155"/>
  <c r="G284" s="1"/>
  <c r="G283" s="1"/>
  <c r="G282" s="1"/>
  <c r="G281" s="1"/>
  <c r="G280" s="1"/>
  <c r="G279" s="1"/>
  <c r="F488" i="147"/>
  <c r="F487" s="1"/>
  <c r="F486" s="1"/>
  <c r="F122" i="155"/>
  <c r="F121" s="1"/>
  <c r="F120" s="1"/>
  <c r="F119" s="1"/>
  <c r="G135"/>
  <c r="G134" s="1"/>
  <c r="G133" s="1"/>
  <c r="F472" i="147"/>
  <c r="F471" s="1"/>
  <c r="F470" s="1"/>
  <c r="F469" s="1"/>
  <c r="E167" i="155"/>
  <c r="E166" s="1"/>
  <c r="E165" s="1"/>
  <c r="E164" s="1"/>
  <c r="D520" i="147"/>
  <c r="D519" s="1"/>
  <c r="D518" s="1"/>
  <c r="D517" s="1"/>
  <c r="D512" s="1"/>
  <c r="F158" i="155"/>
  <c r="F157" s="1"/>
  <c r="E507" i="147"/>
  <c r="E506" s="1"/>
  <c r="E505" s="1"/>
  <c r="F217" i="155"/>
  <c r="F216" s="1"/>
  <c r="F215" s="1"/>
  <c r="F214" s="1"/>
  <c r="G260"/>
  <c r="G259" s="1"/>
  <c r="F414" i="147"/>
  <c r="F413" s="1"/>
  <c r="F412" s="1"/>
  <c r="G225" i="155"/>
  <c r="G224" s="1"/>
  <c r="G223" s="1"/>
  <c r="F379" i="147"/>
  <c r="F378" s="1"/>
  <c r="F377" s="1"/>
  <c r="F376" s="1"/>
  <c r="E285" i="155"/>
  <c r="E284" s="1"/>
  <c r="E283" s="1"/>
  <c r="E282" s="1"/>
  <c r="E281" s="1"/>
  <c r="E280" s="1"/>
  <c r="C27" i="143" s="1"/>
  <c r="C26" s="1"/>
  <c r="D488" i="147"/>
  <c r="D487" s="1"/>
  <c r="D486" s="1"/>
  <c r="G122" i="155"/>
  <c r="G121" s="1"/>
  <c r="G120" s="1"/>
  <c r="G119" s="1"/>
  <c r="E135"/>
  <c r="E134" s="1"/>
  <c r="E133" s="1"/>
  <c r="D472" i="147"/>
  <c r="D471" s="1"/>
  <c r="D470" s="1"/>
  <c r="D469" s="1"/>
  <c r="F141" i="155"/>
  <c r="F140" s="1"/>
  <c r="E480" i="147"/>
  <c r="E479" s="1"/>
  <c r="E478" s="1"/>
  <c r="G158" i="155"/>
  <c r="G157" s="1"/>
  <c r="F507" i="147"/>
  <c r="F506" s="1"/>
  <c r="F505" s="1"/>
  <c r="G217" i="155"/>
  <c r="G216" s="1"/>
  <c r="G215" s="1"/>
  <c r="G214" s="1"/>
  <c r="E260"/>
  <c r="E259" s="1"/>
  <c r="D414" i="147"/>
  <c r="D413" s="1"/>
  <c r="D412" s="1"/>
  <c r="F250" i="155"/>
  <c r="F249" s="1"/>
  <c r="F248" s="1"/>
  <c r="E404" i="147"/>
  <c r="E403" s="1"/>
  <c r="E402" s="1"/>
  <c r="E401" s="1"/>
  <c r="E225" i="155"/>
  <c r="E224" s="1"/>
  <c r="E223" s="1"/>
  <c r="D379" i="147"/>
  <c r="D378" s="1"/>
  <c r="D377" s="1"/>
  <c r="D376" s="1"/>
  <c r="F272" i="155"/>
  <c r="F271" s="1"/>
  <c r="F270" s="1"/>
  <c r="F269" s="1"/>
  <c r="E491" i="147"/>
  <c r="E490" s="1"/>
  <c r="E489" s="1"/>
  <c r="E122" i="155"/>
  <c r="E121" s="1"/>
  <c r="E120" s="1"/>
  <c r="E119" s="1"/>
  <c r="F131"/>
  <c r="F130" s="1"/>
  <c r="F129" s="1"/>
  <c r="E466" i="147"/>
  <c r="E465" s="1"/>
  <c r="G141" i="155"/>
  <c r="G140" s="1"/>
  <c r="F480" i="147"/>
  <c r="F479" s="1"/>
  <c r="F478" s="1"/>
  <c r="E158" i="155"/>
  <c r="E157" s="1"/>
  <c r="D507" i="147"/>
  <c r="D506" s="1"/>
  <c r="D505" s="1"/>
  <c r="E217" i="155"/>
  <c r="E216" s="1"/>
  <c r="E215" s="1"/>
  <c r="E214" s="1"/>
  <c r="F212"/>
  <c r="F211" s="1"/>
  <c r="F210" s="1"/>
  <c r="E439" i="147"/>
  <c r="E438" s="1"/>
  <c r="E437" s="1"/>
  <c r="E436" s="1"/>
  <c r="G250" i="155"/>
  <c r="G249" s="1"/>
  <c r="G248" s="1"/>
  <c r="F404" i="147"/>
  <c r="F403" s="1"/>
  <c r="F402" s="1"/>
  <c r="F401" s="1"/>
  <c r="F229" i="155"/>
  <c r="F228" s="1"/>
  <c r="E383" i="147"/>
  <c r="E382" s="1"/>
  <c r="E381" s="1"/>
  <c r="G272" i="155"/>
  <c r="G271" s="1"/>
  <c r="G270" s="1"/>
  <c r="G269" s="1"/>
  <c r="F491" i="147"/>
  <c r="F490" s="1"/>
  <c r="F489" s="1"/>
  <c r="G131" i="155"/>
  <c r="G130" s="1"/>
  <c r="G129" s="1"/>
  <c r="F466" i="147"/>
  <c r="F465" s="1"/>
  <c r="E141" i="155"/>
  <c r="E140" s="1"/>
  <c r="D480" i="147"/>
  <c r="D479" s="1"/>
  <c r="D478" s="1"/>
  <c r="F162" i="155"/>
  <c r="F161" s="1"/>
  <c r="F160" s="1"/>
  <c r="E511" i="147"/>
  <c r="E510" s="1"/>
  <c r="E509" s="1"/>
  <c r="E508" s="1"/>
  <c r="G212" i="155"/>
  <c r="G211" s="1"/>
  <c r="G210" s="1"/>
  <c r="F439" i="147"/>
  <c r="F438" s="1"/>
  <c r="F437" s="1"/>
  <c r="F436" s="1"/>
  <c r="E250" i="155"/>
  <c r="E249" s="1"/>
  <c r="E248" s="1"/>
  <c r="D404" i="147"/>
  <c r="D403" s="1"/>
  <c r="D402" s="1"/>
  <c r="D401" s="1"/>
  <c r="G229" i="155"/>
  <c r="G228" s="1"/>
  <c r="G227" s="1"/>
  <c r="F383" i="147"/>
  <c r="F382" s="1"/>
  <c r="F381" s="1"/>
  <c r="F380" s="1"/>
  <c r="E272" i="155"/>
  <c r="E271" s="1"/>
  <c r="E270" s="1"/>
  <c r="E269" s="1"/>
  <c r="D491" i="147"/>
  <c r="D490" s="1"/>
  <c r="D489" s="1"/>
  <c r="E131" i="155"/>
  <c r="E130" s="1"/>
  <c r="E129" s="1"/>
  <c r="D466" i="147"/>
  <c r="D465" s="1"/>
  <c r="F146" i="155"/>
  <c r="F145" s="1"/>
  <c r="E485" i="147"/>
  <c r="E484" s="1"/>
  <c r="E483" s="1"/>
  <c r="G162" i="155"/>
  <c r="G161" s="1"/>
  <c r="G160" s="1"/>
  <c r="F511" i="147"/>
  <c r="F510" s="1"/>
  <c r="F509" s="1"/>
  <c r="F508" s="1"/>
  <c r="E212" i="155"/>
  <c r="E211" s="1"/>
  <c r="E210" s="1"/>
  <c r="D439" i="147"/>
  <c r="D438" s="1"/>
  <c r="D437" s="1"/>
  <c r="D436" s="1"/>
  <c r="F254" i="155"/>
  <c r="F253" s="1"/>
  <c r="E408" i="147"/>
  <c r="E407" s="1"/>
  <c r="E406" s="1"/>
  <c r="E229" i="155"/>
  <c r="E228" s="1"/>
  <c r="D383" i="147"/>
  <c r="D382" s="1"/>
  <c r="D381" s="1"/>
  <c r="F277" i="155"/>
  <c r="F276" s="1"/>
  <c r="F275" s="1"/>
  <c r="F274" s="1"/>
  <c r="E525" i="147"/>
  <c r="E524" s="1"/>
  <c r="E523" s="1"/>
  <c r="E522" s="1"/>
  <c r="E521" s="1"/>
  <c r="E235"/>
  <c r="E234" s="1"/>
  <c r="F127" i="155"/>
  <c r="F126" s="1"/>
  <c r="F125" s="1"/>
  <c r="E460" i="147"/>
  <c r="E459" s="1"/>
  <c r="E458" s="1"/>
  <c r="E457" s="1"/>
  <c r="G146" i="155"/>
  <c r="G145" s="1"/>
  <c r="F485" i="147"/>
  <c r="F484" s="1"/>
  <c r="F483" s="1"/>
  <c r="E162" i="155"/>
  <c r="E161" s="1"/>
  <c r="E160" s="1"/>
  <c r="D511" i="147"/>
  <c r="D510" s="1"/>
  <c r="D509" s="1"/>
  <c r="D508" s="1"/>
  <c r="F155" i="155"/>
  <c r="F154" s="1"/>
  <c r="E504" i="147"/>
  <c r="E503" s="1"/>
  <c r="E502" s="1"/>
  <c r="F208" i="155"/>
  <c r="F207" s="1"/>
  <c r="F206" s="1"/>
  <c r="E431" i="147"/>
  <c r="E430" s="1"/>
  <c r="E429" s="1"/>
  <c r="E428" s="1"/>
  <c r="G254" i="155"/>
  <c r="G253" s="1"/>
  <c r="F408" i="147"/>
  <c r="F407" s="1"/>
  <c r="F406" s="1"/>
  <c r="F235" i="155"/>
  <c r="F234" s="1"/>
  <c r="E389" i="147"/>
  <c r="E388" s="1"/>
  <c r="E387" s="1"/>
  <c r="G277" i="155"/>
  <c r="G276" s="1"/>
  <c r="G275" s="1"/>
  <c r="G274" s="1"/>
  <c r="F525" i="147"/>
  <c r="F524" s="1"/>
  <c r="F523" s="1"/>
  <c r="F522" s="1"/>
  <c r="F521" s="1"/>
  <c r="E263"/>
  <c r="E262" s="1"/>
  <c r="E261" s="1"/>
  <c r="F235"/>
  <c r="F234" s="1"/>
  <c r="E42" i="155"/>
  <c r="E41" s="1"/>
  <c r="E37" s="1"/>
  <c r="D583" i="147"/>
  <c r="D582" s="1"/>
  <c r="F42" i="155"/>
  <c r="F41" s="1"/>
  <c r="F37" s="1"/>
  <c r="E583" i="147"/>
  <c r="E582" s="1"/>
  <c r="G42" i="155"/>
  <c r="G41" s="1"/>
  <c r="F583" i="147"/>
  <c r="F582" s="1"/>
  <c r="F62" i="155"/>
  <c r="F59" s="1"/>
  <c r="F58" s="1"/>
  <c r="E585" i="147"/>
  <c r="E584" s="1"/>
  <c r="G62" i="155"/>
  <c r="G59" s="1"/>
  <c r="G58" s="1"/>
  <c r="F585" i="147"/>
  <c r="F584" s="1"/>
  <c r="E62" i="155"/>
  <c r="E59" s="1"/>
  <c r="E58" s="1"/>
  <c r="D585" i="147"/>
  <c r="D584" s="1"/>
  <c r="G109" i="155"/>
  <c r="G108" s="1"/>
  <c r="E603" i="147"/>
  <c r="E602" s="1"/>
  <c r="E601" s="1"/>
  <c r="E600" s="1"/>
  <c r="D597"/>
  <c r="D596" s="1"/>
  <c r="D591"/>
  <c r="D590" s="1"/>
  <c r="D589" s="1"/>
  <c r="E577"/>
  <c r="E576" s="1"/>
  <c r="E575" s="1"/>
  <c r="D563"/>
  <c r="D562" s="1"/>
  <c r="D555"/>
  <c r="D554" s="1"/>
  <c r="D553" s="1"/>
  <c r="E109" i="155"/>
  <c r="E108" s="1"/>
  <c r="F113"/>
  <c r="F112" s="1"/>
  <c r="F603" i="147"/>
  <c r="F602" s="1"/>
  <c r="F601" s="1"/>
  <c r="F600" s="1"/>
  <c r="D599"/>
  <c r="D598" s="1"/>
  <c r="E595"/>
  <c r="E594" s="1"/>
  <c r="F577"/>
  <c r="F576" s="1"/>
  <c r="F575" s="1"/>
  <c r="D565"/>
  <c r="D564" s="1"/>
  <c r="E559"/>
  <c r="E558" s="1"/>
  <c r="E557" s="1"/>
  <c r="F104" i="155"/>
  <c r="G113"/>
  <c r="G112" s="1"/>
  <c r="D603" i="147"/>
  <c r="D602" s="1"/>
  <c r="D601" s="1"/>
  <c r="D600" s="1"/>
  <c r="F595"/>
  <c r="F594" s="1"/>
  <c r="D577"/>
  <c r="D576" s="1"/>
  <c r="D575" s="1"/>
  <c r="F559"/>
  <c r="F558" s="1"/>
  <c r="F557" s="1"/>
  <c r="F91" i="155"/>
  <c r="F90" s="1"/>
  <c r="F89" s="1"/>
  <c r="F88" s="1"/>
  <c r="F87" s="1"/>
  <c r="F86" s="1"/>
  <c r="D17" i="143" s="1"/>
  <c r="G104" i="155"/>
  <c r="F116"/>
  <c r="F115" s="1"/>
  <c r="E597" i="147"/>
  <c r="E596" s="1"/>
  <c r="E580"/>
  <c r="E579" s="1"/>
  <c r="E578" s="1"/>
  <c r="D559"/>
  <c r="D558" s="1"/>
  <c r="D557" s="1"/>
  <c r="E532"/>
  <c r="E531" s="1"/>
  <c r="G91" i="155"/>
  <c r="G90" s="1"/>
  <c r="G89" s="1"/>
  <c r="G88" s="1"/>
  <c r="G87" s="1"/>
  <c r="G86" s="1"/>
  <c r="E17" i="143" s="1"/>
  <c r="F106" i="155"/>
  <c r="G116"/>
  <c r="G115" s="1"/>
  <c r="F597" i="147"/>
  <c r="F596" s="1"/>
  <c r="F580"/>
  <c r="F579" s="1"/>
  <c r="F578" s="1"/>
  <c r="E563"/>
  <c r="E562" s="1"/>
  <c r="F532"/>
  <c r="F531" s="1"/>
  <c r="E91" i="155"/>
  <c r="E90" s="1"/>
  <c r="E89" s="1"/>
  <c r="E88" s="1"/>
  <c r="E87" s="1"/>
  <c r="E86" s="1"/>
  <c r="C17" i="143" s="1"/>
  <c r="G106" i="155"/>
  <c r="E116"/>
  <c r="E115" s="1"/>
  <c r="E599" i="147"/>
  <c r="E598" s="1"/>
  <c r="D580"/>
  <c r="D579" s="1"/>
  <c r="D578" s="1"/>
  <c r="F563"/>
  <c r="F562" s="1"/>
  <c r="D532"/>
  <c r="D531" s="1"/>
  <c r="E104" i="155"/>
  <c r="E113"/>
  <c r="E112" s="1"/>
  <c r="F599" i="147"/>
  <c r="F598" s="1"/>
  <c r="E591"/>
  <c r="E590" s="1"/>
  <c r="E589" s="1"/>
  <c r="E565"/>
  <c r="E564" s="1"/>
  <c r="E555"/>
  <c r="E554" s="1"/>
  <c r="E553" s="1"/>
  <c r="E106" i="155"/>
  <c r="F109"/>
  <c r="F108" s="1"/>
  <c r="D595" i="147"/>
  <c r="D594" s="1"/>
  <c r="F591"/>
  <c r="F590" s="1"/>
  <c r="F589" s="1"/>
  <c r="F565"/>
  <c r="F564" s="1"/>
  <c r="F555"/>
  <c r="F554" s="1"/>
  <c r="F553" s="1"/>
  <c r="E268" i="155"/>
  <c r="E267" s="1"/>
  <c r="C25" i="143" s="1"/>
  <c r="E188" i="155"/>
  <c r="E187" s="1"/>
  <c r="F188"/>
  <c r="F187" s="1"/>
  <c r="G188"/>
  <c r="G187" s="1"/>
  <c r="F21"/>
  <c r="F20" s="1"/>
  <c r="G21"/>
  <c r="G20" s="1"/>
  <c r="E21"/>
  <c r="E20" s="1"/>
  <c r="G37" l="1"/>
  <c r="G36" s="1"/>
  <c r="G35" s="1"/>
  <c r="G34" s="1"/>
  <c r="E13" i="143" s="1"/>
  <c r="E36" i="155"/>
  <c r="E35" s="1"/>
  <c r="E34" s="1"/>
  <c r="C13" i="143" s="1"/>
  <c r="F36" i="155"/>
  <c r="F35" s="1"/>
  <c r="F34" s="1"/>
  <c r="D13" i="143" s="1"/>
  <c r="E252" i="155"/>
  <c r="E247" s="1"/>
  <c r="F205"/>
  <c r="F204" s="1"/>
  <c r="F203" s="1"/>
  <c r="D22" i="143" s="1"/>
  <c r="D20" s="1"/>
  <c r="F19" i="155"/>
  <c r="F18" s="1"/>
  <c r="F17" s="1"/>
  <c r="D12" i="143" s="1"/>
  <c r="E19" i="155"/>
  <c r="E18" s="1"/>
  <c r="E17" s="1"/>
  <c r="C12" i="143" s="1"/>
  <c r="G19" i="155"/>
  <c r="G18" s="1"/>
  <c r="G17" s="1"/>
  <c r="E12" i="143" s="1"/>
  <c r="E427" i="147"/>
  <c r="F252" i="155"/>
  <c r="F247" s="1"/>
  <c r="G252"/>
  <c r="G247" s="1"/>
  <c r="D229" i="147"/>
  <c r="D155" s="1"/>
  <c r="E405"/>
  <c r="E400" s="1"/>
  <c r="F405"/>
  <c r="F400" s="1"/>
  <c r="F528"/>
  <c r="F527" s="1"/>
  <c r="D528"/>
  <c r="D527" s="1"/>
  <c r="E528"/>
  <c r="E527" s="1"/>
  <c r="F229"/>
  <c r="F155" s="1"/>
  <c r="E227" i="155"/>
  <c r="E222" s="1"/>
  <c r="G205"/>
  <c r="G204" s="1"/>
  <c r="G203" s="1"/>
  <c r="E22" i="143" s="1"/>
  <c r="E20" s="1"/>
  <c r="E279" i="155"/>
  <c r="F153"/>
  <c r="F152" s="1"/>
  <c r="E501" i="147"/>
  <c r="E500" s="1"/>
  <c r="E205" i="155"/>
  <c r="E204" s="1"/>
  <c r="E203" s="1"/>
  <c r="C22" i="143" s="1"/>
  <c r="C20" s="1"/>
  <c r="E124" i="155"/>
  <c r="E118" s="1"/>
  <c r="F268"/>
  <c r="F267" s="1"/>
  <c r="D25" i="143" s="1"/>
  <c r="G268" i="155"/>
  <c r="G267" s="1"/>
  <c r="E25" i="143" s="1"/>
  <c r="G153" i="155"/>
  <c r="G152" s="1"/>
  <c r="G139"/>
  <c r="G138" s="1"/>
  <c r="F427" i="147"/>
  <c r="E27" i="143"/>
  <c r="E26" s="1"/>
  <c r="E139" i="155"/>
  <c r="E138" s="1"/>
  <c r="E153"/>
  <c r="E152" s="1"/>
  <c r="D427" i="147"/>
  <c r="F279" i="155"/>
  <c r="G124"/>
  <c r="G118" s="1"/>
  <c r="F227"/>
  <c r="F222" s="1"/>
  <c r="D380" i="147"/>
  <c r="D375" s="1"/>
  <c r="F139" i="155"/>
  <c r="F138" s="1"/>
  <c r="F124"/>
  <c r="F118" s="1"/>
  <c r="E57"/>
  <c r="E56" s="1"/>
  <c r="E55" s="1"/>
  <c r="C15" i="143" s="1"/>
  <c r="F375" i="147"/>
  <c r="E380"/>
  <c r="E375" s="1"/>
  <c r="D501"/>
  <c r="D500" s="1"/>
  <c r="E477"/>
  <c r="E476" s="1"/>
  <c r="D405"/>
  <c r="D400" s="1"/>
  <c r="D477"/>
  <c r="D476" s="1"/>
  <c r="F477"/>
  <c r="F476" s="1"/>
  <c r="E229"/>
  <c r="E155" s="1"/>
  <c r="F501"/>
  <c r="F500" s="1"/>
  <c r="G57" i="155"/>
  <c r="G56" s="1"/>
  <c r="G55" s="1"/>
  <c r="E15" i="143" s="1"/>
  <c r="F57" i="155"/>
  <c r="F56" s="1"/>
  <c r="F55" s="1"/>
  <c r="D15" i="143" s="1"/>
  <c r="G111" i="155"/>
  <c r="G103"/>
  <c r="G102" s="1"/>
  <c r="E103"/>
  <c r="E102" s="1"/>
  <c r="D581" i="147"/>
  <c r="D574" s="1"/>
  <c r="F103" i="155"/>
  <c r="F102" s="1"/>
  <c r="F111"/>
  <c r="D561" i="147"/>
  <c r="D560" s="1"/>
  <c r="F593"/>
  <c r="F592" s="1"/>
  <c r="E561"/>
  <c r="E560" s="1"/>
  <c r="E593"/>
  <c r="E592" s="1"/>
  <c r="F581"/>
  <c r="F574" s="1"/>
  <c r="E111" i="155"/>
  <c r="F561" i="147"/>
  <c r="F560" s="1"/>
  <c r="E581"/>
  <c r="E574" s="1"/>
  <c r="D593"/>
  <c r="D592" s="1"/>
  <c r="G222" i="155"/>
  <c r="E176"/>
  <c r="E169" s="1"/>
  <c r="G176"/>
  <c r="G169" s="1"/>
  <c r="F176"/>
  <c r="F169" s="1"/>
  <c r="F195" l="1"/>
  <c r="G195"/>
  <c r="F137"/>
  <c r="G137"/>
  <c r="E137"/>
  <c r="E195"/>
  <c r="G221"/>
  <c r="F221"/>
  <c r="F374" i="147"/>
  <c r="E221" i="155"/>
  <c r="D475" i="147"/>
  <c r="D374"/>
  <c r="F475"/>
  <c r="E374"/>
  <c r="E475"/>
  <c r="E556"/>
  <c r="E526" s="1"/>
  <c r="F556"/>
  <c r="F526" s="1"/>
  <c r="D556"/>
  <c r="D526" s="1"/>
  <c r="G101" i="155"/>
  <c r="G100" s="1"/>
  <c r="G99" s="1"/>
  <c r="E101"/>
  <c r="E100" s="1"/>
  <c r="F101"/>
  <c r="F100" s="1"/>
  <c r="G267" i="154"/>
  <c r="G266" s="1"/>
  <c r="H267"/>
  <c r="H266" s="1"/>
  <c r="F267"/>
  <c r="F266" s="1"/>
  <c r="G264"/>
  <c r="G263" s="1"/>
  <c r="H264"/>
  <c r="H263" s="1"/>
  <c r="F264"/>
  <c r="F263" s="1"/>
  <c r="G455"/>
  <c r="G454" s="1"/>
  <c r="G453" s="1"/>
  <c r="G452" s="1"/>
  <c r="H455"/>
  <c r="H454" s="1"/>
  <c r="H453" s="1"/>
  <c r="H452" s="1"/>
  <c r="F455"/>
  <c r="F454" s="1"/>
  <c r="F453" s="1"/>
  <c r="F452" s="1"/>
  <c r="F220" i="155" l="1"/>
  <c r="F219" s="1"/>
  <c r="G220"/>
  <c r="E24" i="143" s="1"/>
  <c r="E23" s="1"/>
  <c r="E220" i="155"/>
  <c r="E219" s="1"/>
  <c r="F99"/>
  <c r="F10" s="1"/>
  <c r="E99"/>
  <c r="G10"/>
  <c r="E19" i="143"/>
  <c r="E10" s="1"/>
  <c r="C19" l="1"/>
  <c r="C10" s="1"/>
  <c r="E10" i="155"/>
  <c r="D24" i="143"/>
  <c r="D23" s="1"/>
  <c r="D9" s="1"/>
  <c r="G219" i="155"/>
  <c r="C24" i="143"/>
  <c r="C23" s="1"/>
  <c r="D19"/>
  <c r="D10" s="1"/>
  <c r="G388" i="154"/>
  <c r="G387" s="1"/>
  <c r="G383" s="1"/>
  <c r="H388"/>
  <c r="H387" s="1"/>
  <c r="H383" s="1"/>
  <c r="F388"/>
  <c r="F387" s="1"/>
  <c r="F383" s="1"/>
  <c r="G261" l="1"/>
  <c r="G260" s="1"/>
  <c r="G253" s="1"/>
  <c r="H261"/>
  <c r="H260" s="1"/>
  <c r="H253" s="1"/>
  <c r="F261"/>
  <c r="F260" s="1"/>
  <c r="F253" s="1"/>
  <c r="G194" l="1"/>
  <c r="G193" s="1"/>
  <c r="H194"/>
  <c r="H193" s="1"/>
  <c r="F194"/>
  <c r="F193" s="1"/>
  <c r="G197"/>
  <c r="G196" s="1"/>
  <c r="H197"/>
  <c r="H196" s="1"/>
  <c r="F197"/>
  <c r="F196" s="1"/>
  <c r="G243"/>
  <c r="G242" s="1"/>
  <c r="G241" s="1"/>
  <c r="H243"/>
  <c r="H242" s="1"/>
  <c r="H241" s="1"/>
  <c r="F243"/>
  <c r="F242" s="1"/>
  <c r="F241" s="1"/>
  <c r="F584" l="1"/>
  <c r="H677" l="1"/>
  <c r="H676" s="1"/>
  <c r="H675" s="1"/>
  <c r="H674" s="1"/>
  <c r="H673" s="1"/>
  <c r="H672" s="1"/>
  <c r="G677"/>
  <c r="G676" s="1"/>
  <c r="G675" s="1"/>
  <c r="G674" s="1"/>
  <c r="G673" s="1"/>
  <c r="G672" s="1"/>
  <c r="G646" s="1"/>
  <c r="F677"/>
  <c r="F676" s="1"/>
  <c r="F675" s="1"/>
  <c r="F674" s="1"/>
  <c r="F673" s="1"/>
  <c r="F672" s="1"/>
  <c r="G166" l="1"/>
  <c r="G165" s="1"/>
  <c r="H166"/>
  <c r="H165" s="1"/>
  <c r="F166"/>
  <c r="F165" s="1"/>
  <c r="G191"/>
  <c r="G190" s="1"/>
  <c r="G189" s="1"/>
  <c r="H191"/>
  <c r="H190" s="1"/>
  <c r="H189" s="1"/>
  <c r="F191"/>
  <c r="F190" s="1"/>
  <c r="F189" s="1"/>
  <c r="G250"/>
  <c r="G249" s="1"/>
  <c r="H250"/>
  <c r="H249" s="1"/>
  <c r="F250"/>
  <c r="F249" s="1"/>
  <c r="G239"/>
  <c r="G238" s="1"/>
  <c r="H239"/>
  <c r="H238" s="1"/>
  <c r="F239"/>
  <c r="F238" s="1"/>
  <c r="G237" l="1"/>
  <c r="H237"/>
  <c r="F237"/>
  <c r="G339" l="1"/>
  <c r="G338" s="1"/>
  <c r="G337" s="1"/>
  <c r="H339"/>
  <c r="H338" s="1"/>
  <c r="H337" s="1"/>
  <c r="F339"/>
  <c r="F338" s="1"/>
  <c r="F337" s="1"/>
  <c r="G343"/>
  <c r="G342" s="1"/>
  <c r="G341" s="1"/>
  <c r="H343"/>
  <c r="H342" s="1"/>
  <c r="H341" s="1"/>
  <c r="F343"/>
  <c r="F342" s="1"/>
  <c r="F341" s="1"/>
  <c r="G347"/>
  <c r="G346" s="1"/>
  <c r="G345" s="1"/>
  <c r="H347"/>
  <c r="H346" s="1"/>
  <c r="H345" s="1"/>
  <c r="F347"/>
  <c r="F346" s="1"/>
  <c r="F345" s="1"/>
  <c r="G325"/>
  <c r="G324" s="1"/>
  <c r="G323" s="1"/>
  <c r="G322" s="1"/>
  <c r="H325"/>
  <c r="H324" s="1"/>
  <c r="H323" s="1"/>
  <c r="H322" s="1"/>
  <c r="F336" l="1"/>
  <c r="F335" s="1"/>
  <c r="G321"/>
  <c r="H321"/>
  <c r="H336"/>
  <c r="H335" s="1"/>
  <c r="G336"/>
  <c r="G335" s="1"/>
  <c r="H320" l="1"/>
  <c r="G320"/>
  <c r="G809"/>
  <c r="G808" s="1"/>
  <c r="G804" s="1"/>
  <c r="H809"/>
  <c r="H808" s="1"/>
  <c r="H804" s="1"/>
  <c r="F809"/>
  <c r="F808" s="1"/>
  <c r="F804" s="1"/>
  <c r="G754" l="1"/>
  <c r="G753" s="1"/>
  <c r="G752" s="1"/>
  <c r="H754"/>
  <c r="H753" s="1"/>
  <c r="H752" s="1"/>
  <c r="F754"/>
  <c r="F753" s="1"/>
  <c r="F752" s="1"/>
  <c r="H584"/>
  <c r="H583" s="1"/>
  <c r="H582" s="1"/>
  <c r="G584"/>
  <c r="G583" s="1"/>
  <c r="G582" s="1"/>
  <c r="F583"/>
  <c r="F582" s="1"/>
  <c r="G247" l="1"/>
  <c r="G246" s="1"/>
  <c r="G245" s="1"/>
  <c r="G236" s="1"/>
  <c r="H247"/>
  <c r="H246" s="1"/>
  <c r="H245" s="1"/>
  <c r="H236" s="1"/>
  <c r="F247"/>
  <c r="F246" s="1"/>
  <c r="F245" s="1"/>
  <c r="F236" s="1"/>
  <c r="G392" l="1"/>
  <c r="G391" s="1"/>
  <c r="H392"/>
  <c r="H391" s="1"/>
  <c r="F392"/>
  <c r="F391" s="1"/>
  <c r="H355"/>
  <c r="H354" s="1"/>
  <c r="G355"/>
  <c r="G354" s="1"/>
  <c r="F355"/>
  <c r="F354" s="1"/>
  <c r="H353" l="1"/>
  <c r="H352" s="1"/>
  <c r="G353"/>
  <c r="G352" s="1"/>
  <c r="F353"/>
  <c r="F352" s="1"/>
  <c r="F321"/>
  <c r="F320" s="1"/>
  <c r="H608" l="1"/>
  <c r="H607" s="1"/>
  <c r="G608"/>
  <c r="G607" s="1"/>
  <c r="F608"/>
  <c r="F607" s="1"/>
  <c r="G854" l="1"/>
  <c r="G853" s="1"/>
  <c r="H854"/>
  <c r="H853" s="1"/>
  <c r="F854"/>
  <c r="F853" s="1"/>
  <c r="H751" l="1"/>
  <c r="H750" s="1"/>
  <c r="H749" s="1"/>
  <c r="H748" s="1"/>
  <c r="H747" s="1"/>
  <c r="G751"/>
  <c r="G750" s="1"/>
  <c r="G749" s="1"/>
  <c r="G748" s="1"/>
  <c r="G747" s="1"/>
  <c r="F751"/>
  <c r="F750" s="1"/>
  <c r="F749" s="1"/>
  <c r="F748" s="1"/>
  <c r="F747" s="1"/>
  <c r="G395" l="1"/>
  <c r="G394" s="1"/>
  <c r="G390" s="1"/>
  <c r="H395"/>
  <c r="H394" s="1"/>
  <c r="H390" s="1"/>
  <c r="F395"/>
  <c r="F394" s="1"/>
  <c r="F390" s="1"/>
  <c r="F382" s="1"/>
  <c r="F381" l="1"/>
  <c r="F380" s="1"/>
  <c r="H382"/>
  <c r="G382"/>
  <c r="H351" l="1"/>
  <c r="H350" s="1"/>
  <c r="G351"/>
  <c r="G350" s="1"/>
  <c r="H381"/>
  <c r="H380" s="1"/>
  <c r="G381"/>
  <c r="G380" s="1"/>
  <c r="F351"/>
  <c r="F350" s="1"/>
  <c r="G302" l="1"/>
  <c r="G301" s="1"/>
  <c r="G300" s="1"/>
  <c r="H302"/>
  <c r="H301" s="1"/>
  <c r="H300" s="1"/>
  <c r="F302"/>
  <c r="F301" s="1"/>
  <c r="F300" s="1"/>
  <c r="G819"/>
  <c r="G818" s="1"/>
  <c r="G817" s="1"/>
  <c r="H819"/>
  <c r="H818" s="1"/>
  <c r="H817" s="1"/>
  <c r="F819"/>
  <c r="F818" s="1"/>
  <c r="F817" s="1"/>
  <c r="G149"/>
  <c r="G148" s="1"/>
  <c r="G147" s="1"/>
  <c r="H149"/>
  <c r="H148" s="1"/>
  <c r="H147" s="1"/>
  <c r="F149"/>
  <c r="F148" s="1"/>
  <c r="F147" s="1"/>
  <c r="H990" l="1"/>
  <c r="G990"/>
  <c r="F990"/>
  <c r="H988"/>
  <c r="G988"/>
  <c r="F988"/>
  <c r="H977"/>
  <c r="G977"/>
  <c r="F977"/>
  <c r="H975"/>
  <c r="G975"/>
  <c r="F975"/>
  <c r="H969"/>
  <c r="H968" s="1"/>
  <c r="H967" s="1"/>
  <c r="G969"/>
  <c r="G968" s="1"/>
  <c r="G967" s="1"/>
  <c r="F969"/>
  <c r="F968" s="1"/>
  <c r="F967" s="1"/>
  <c r="H965"/>
  <c r="H964" s="1"/>
  <c r="H963" s="1"/>
  <c r="G965"/>
  <c r="G964" s="1"/>
  <c r="G963" s="1"/>
  <c r="F965"/>
  <c r="F964" s="1"/>
  <c r="F963" s="1"/>
  <c r="H960"/>
  <c r="H957" s="1"/>
  <c r="H956" s="1"/>
  <c r="G960"/>
  <c r="G957" s="1"/>
  <c r="G956" s="1"/>
  <c r="F960"/>
  <c r="F957" s="1"/>
  <c r="F956" s="1"/>
  <c r="H951"/>
  <c r="H950" s="1"/>
  <c r="H949" s="1"/>
  <c r="G951"/>
  <c r="G950" s="1"/>
  <c r="G949" s="1"/>
  <c r="F951"/>
  <c r="F950" s="1"/>
  <c r="F949" s="1"/>
  <c r="H947"/>
  <c r="H946" s="1"/>
  <c r="H945" s="1"/>
  <c r="G947"/>
  <c r="G946" s="1"/>
  <c r="G945" s="1"/>
  <c r="F947"/>
  <c r="F946" s="1"/>
  <c r="F945" s="1"/>
  <c r="H943"/>
  <c r="H942" s="1"/>
  <c r="H941" s="1"/>
  <c r="G943"/>
  <c r="G942" s="1"/>
  <c r="G941" s="1"/>
  <c r="F943"/>
  <c r="F942" s="1"/>
  <c r="F941" s="1"/>
  <c r="H930"/>
  <c r="H929" s="1"/>
  <c r="G930"/>
  <c r="G929" s="1"/>
  <c r="F930"/>
  <c r="F929" s="1"/>
  <c r="H927"/>
  <c r="H926" s="1"/>
  <c r="G927"/>
  <c r="G926" s="1"/>
  <c r="F927"/>
  <c r="F926" s="1"/>
  <c r="H924"/>
  <c r="H923" s="1"/>
  <c r="G924"/>
  <c r="G923" s="1"/>
  <c r="F924"/>
  <c r="F923" s="1"/>
  <c r="H912"/>
  <c r="H911" s="1"/>
  <c r="H910" s="1"/>
  <c r="G912"/>
  <c r="G911" s="1"/>
  <c r="G910" s="1"/>
  <c r="F912"/>
  <c r="F911" s="1"/>
  <c r="F910" s="1"/>
  <c r="H908"/>
  <c r="H907" s="1"/>
  <c r="H906" s="1"/>
  <c r="G583" i="155" s="1"/>
  <c r="G908" i="154"/>
  <c r="G907" s="1"/>
  <c r="G906" s="1"/>
  <c r="F583" i="155" s="1"/>
  <c r="F908" i="154"/>
  <c r="F907" s="1"/>
  <c r="F906" s="1"/>
  <c r="E583" i="155" s="1"/>
  <c r="H904" i="154"/>
  <c r="H903" s="1"/>
  <c r="H902" s="1"/>
  <c r="G904"/>
  <c r="G903" s="1"/>
  <c r="G902" s="1"/>
  <c r="F904"/>
  <c r="F903" s="1"/>
  <c r="F902" s="1"/>
  <c r="H898"/>
  <c r="H897" s="1"/>
  <c r="H896" s="1"/>
  <c r="G898"/>
  <c r="G897" s="1"/>
  <c r="G896" s="1"/>
  <c r="F898"/>
  <c r="F897" s="1"/>
  <c r="F896" s="1"/>
  <c r="H894"/>
  <c r="H893" s="1"/>
  <c r="H889" s="1"/>
  <c r="G894"/>
  <c r="G893" s="1"/>
  <c r="G889" s="1"/>
  <c r="F894"/>
  <c r="F893" s="1"/>
  <c r="F889" s="1"/>
  <c r="H883"/>
  <c r="H882" s="1"/>
  <c r="G883"/>
  <c r="G882" s="1"/>
  <c r="F883"/>
  <c r="F882" s="1"/>
  <c r="H875"/>
  <c r="H874" s="1"/>
  <c r="H870" s="1"/>
  <c r="G875"/>
  <c r="G874" s="1"/>
  <c r="G870" s="1"/>
  <c r="F875"/>
  <c r="F874" s="1"/>
  <c r="F870" s="1"/>
  <c r="H851"/>
  <c r="H850" s="1"/>
  <c r="G851"/>
  <c r="G850" s="1"/>
  <c r="F851"/>
  <c r="F850" s="1"/>
  <c r="H841"/>
  <c r="H840" s="1"/>
  <c r="G841"/>
  <c r="G840" s="1"/>
  <c r="F841"/>
  <c r="F840" s="1"/>
  <c r="F836" s="1"/>
  <c r="H838"/>
  <c r="H837" s="1"/>
  <c r="G838"/>
  <c r="G837" s="1"/>
  <c r="F838"/>
  <c r="F837" s="1"/>
  <c r="H831"/>
  <c r="H830" s="1"/>
  <c r="H829" s="1"/>
  <c r="G831"/>
  <c r="G830" s="1"/>
  <c r="G829" s="1"/>
  <c r="F831"/>
  <c r="F830" s="1"/>
  <c r="F829" s="1"/>
  <c r="H827"/>
  <c r="H826" s="1"/>
  <c r="H825" s="1"/>
  <c r="G827"/>
  <c r="G826" s="1"/>
  <c r="G825" s="1"/>
  <c r="F827"/>
  <c r="F826" s="1"/>
  <c r="F825" s="1"/>
  <c r="H823"/>
  <c r="H822" s="1"/>
  <c r="H821" s="1"/>
  <c r="G823"/>
  <c r="G822" s="1"/>
  <c r="G821" s="1"/>
  <c r="F823"/>
  <c r="F822" s="1"/>
  <c r="F821" s="1"/>
  <c r="H795"/>
  <c r="H794" s="1"/>
  <c r="G795"/>
  <c r="G794" s="1"/>
  <c r="F795"/>
  <c r="F794" s="1"/>
  <c r="H792"/>
  <c r="H791" s="1"/>
  <c r="G792"/>
  <c r="G791" s="1"/>
  <c r="F792"/>
  <c r="F791" s="1"/>
  <c r="H745"/>
  <c r="G745"/>
  <c r="F745"/>
  <c r="H743"/>
  <c r="G743"/>
  <c r="F743"/>
  <c r="H734"/>
  <c r="H733" s="1"/>
  <c r="H732" s="1"/>
  <c r="G734"/>
  <c r="G733" s="1"/>
  <c r="G732" s="1"/>
  <c r="F734"/>
  <c r="F733" s="1"/>
  <c r="F732" s="1"/>
  <c r="H726"/>
  <c r="H725" s="1"/>
  <c r="H724" s="1"/>
  <c r="H723" s="1"/>
  <c r="G726"/>
  <c r="G725" s="1"/>
  <c r="G724" s="1"/>
  <c r="G723" s="1"/>
  <c r="F726"/>
  <c r="F725" s="1"/>
  <c r="F724" s="1"/>
  <c r="F723" s="1"/>
  <c r="H718"/>
  <c r="H717" s="1"/>
  <c r="H716" s="1"/>
  <c r="H715" s="1"/>
  <c r="H714" s="1"/>
  <c r="H713" s="1"/>
  <c r="H712" s="1"/>
  <c r="G718"/>
  <c r="G717" s="1"/>
  <c r="G716" s="1"/>
  <c r="G715" s="1"/>
  <c r="G714" s="1"/>
  <c r="G713" s="1"/>
  <c r="G712" s="1"/>
  <c r="F718"/>
  <c r="F717" s="1"/>
  <c r="F716" s="1"/>
  <c r="F715" s="1"/>
  <c r="F714" s="1"/>
  <c r="F713" s="1"/>
  <c r="F712" s="1"/>
  <c r="H707"/>
  <c r="H706" s="1"/>
  <c r="G707"/>
  <c r="G706" s="1"/>
  <c r="F707"/>
  <c r="F706" s="1"/>
  <c r="H691"/>
  <c r="H690" s="1"/>
  <c r="G691"/>
  <c r="G690" s="1"/>
  <c r="F691"/>
  <c r="F690" s="1"/>
  <c r="H686"/>
  <c r="H685" s="1"/>
  <c r="G686"/>
  <c r="G685" s="1"/>
  <c r="F686"/>
  <c r="F685" s="1"/>
  <c r="H664"/>
  <c r="H663" s="1"/>
  <c r="H662" s="1"/>
  <c r="H661" s="1"/>
  <c r="H660" s="1"/>
  <c r="G664"/>
  <c r="G663" s="1"/>
  <c r="G662" s="1"/>
  <c r="G661" s="1"/>
  <c r="G660" s="1"/>
  <c r="F664"/>
  <c r="F663" s="1"/>
  <c r="F662" s="1"/>
  <c r="F661" s="1"/>
  <c r="F660" s="1"/>
  <c r="H655"/>
  <c r="G655"/>
  <c r="F655"/>
  <c r="H653"/>
  <c r="G653"/>
  <c r="F653"/>
  <c r="H644"/>
  <c r="H643" s="1"/>
  <c r="G644"/>
  <c r="G643" s="1"/>
  <c r="F644"/>
  <c r="F643" s="1"/>
  <c r="H641"/>
  <c r="H640" s="1"/>
  <c r="G641"/>
  <c r="G640" s="1"/>
  <c r="F641"/>
  <c r="F640" s="1"/>
  <c r="H633"/>
  <c r="H632" s="1"/>
  <c r="H631" s="1"/>
  <c r="G633"/>
  <c r="G632" s="1"/>
  <c r="G631" s="1"/>
  <c r="F633"/>
  <c r="F632" s="1"/>
  <c r="F631" s="1"/>
  <c r="H629"/>
  <c r="H628" s="1"/>
  <c r="H627" s="1"/>
  <c r="G629"/>
  <c r="G628" s="1"/>
  <c r="G627" s="1"/>
  <c r="F629"/>
  <c r="F628" s="1"/>
  <c r="F627" s="1"/>
  <c r="H625"/>
  <c r="H624" s="1"/>
  <c r="H623" s="1"/>
  <c r="H618" s="1"/>
  <c r="G625"/>
  <c r="G624" s="1"/>
  <c r="G623" s="1"/>
  <c r="G618" s="1"/>
  <c r="F625"/>
  <c r="F624" s="1"/>
  <c r="F623" s="1"/>
  <c r="H605"/>
  <c r="H604" s="1"/>
  <c r="H603" s="1"/>
  <c r="G605"/>
  <c r="G604" s="1"/>
  <c r="G603" s="1"/>
  <c r="F605"/>
  <c r="F604" s="1"/>
  <c r="F603" s="1"/>
  <c r="H598"/>
  <c r="H597" s="1"/>
  <c r="H596" s="1"/>
  <c r="G598"/>
  <c r="G597" s="1"/>
  <c r="G596" s="1"/>
  <c r="F598"/>
  <c r="F597" s="1"/>
  <c r="F596" s="1"/>
  <c r="H594"/>
  <c r="H593" s="1"/>
  <c r="H592" s="1"/>
  <c r="G594"/>
  <c r="G593" s="1"/>
  <c r="G592" s="1"/>
  <c r="F594"/>
  <c r="F593" s="1"/>
  <c r="F592" s="1"/>
  <c r="H590"/>
  <c r="H589" s="1"/>
  <c r="H588" s="1"/>
  <c r="G590"/>
  <c r="G589" s="1"/>
  <c r="G588" s="1"/>
  <c r="F590"/>
  <c r="F589" s="1"/>
  <c r="F588" s="1"/>
  <c r="H587"/>
  <c r="H586" s="1"/>
  <c r="G587"/>
  <c r="G586" s="1"/>
  <c r="F587"/>
  <c r="F586" s="1"/>
  <c r="H580"/>
  <c r="G580"/>
  <c r="F580"/>
  <c r="H578"/>
  <c r="G578"/>
  <c r="F578"/>
  <c r="H575"/>
  <c r="G575"/>
  <c r="F575"/>
  <c r="H573"/>
  <c r="G573"/>
  <c r="F573"/>
  <c r="H571"/>
  <c r="G571"/>
  <c r="F571"/>
  <c r="H570"/>
  <c r="G570"/>
  <c r="F570"/>
  <c r="H567"/>
  <c r="H566" s="1"/>
  <c r="H565" s="1"/>
  <c r="G567"/>
  <c r="G566" s="1"/>
  <c r="G565" s="1"/>
  <c r="F567"/>
  <c r="F566" s="1"/>
  <c r="F565" s="1"/>
  <c r="H563"/>
  <c r="H562" s="1"/>
  <c r="H561" s="1"/>
  <c r="G563"/>
  <c r="G562" s="1"/>
  <c r="G561" s="1"/>
  <c r="F563"/>
  <c r="F562" s="1"/>
  <c r="F561" s="1"/>
  <c r="H548"/>
  <c r="H547" s="1"/>
  <c r="H546" s="1"/>
  <c r="H545" s="1"/>
  <c r="H544" s="1"/>
  <c r="H543" s="1"/>
  <c r="G548"/>
  <c r="G547" s="1"/>
  <c r="G546" s="1"/>
  <c r="G545" s="1"/>
  <c r="G544" s="1"/>
  <c r="G543" s="1"/>
  <c r="F548"/>
  <c r="F547" s="1"/>
  <c r="F546" s="1"/>
  <c r="F545" s="1"/>
  <c r="F544" s="1"/>
  <c r="F543" s="1"/>
  <c r="H541"/>
  <c r="G541"/>
  <c r="F541"/>
  <c r="H539"/>
  <c r="G539"/>
  <c r="F539"/>
  <c r="H535"/>
  <c r="H534" s="1"/>
  <c r="H533" s="1"/>
  <c r="G535"/>
  <c r="G534" s="1"/>
  <c r="G533" s="1"/>
  <c r="F535"/>
  <c r="F534" s="1"/>
  <c r="F533" s="1"/>
  <c r="H528"/>
  <c r="G528"/>
  <c r="F528"/>
  <c r="H526"/>
  <c r="G526"/>
  <c r="F526"/>
  <c r="H518"/>
  <c r="H517" s="1"/>
  <c r="H516" s="1"/>
  <c r="G518"/>
  <c r="G517" s="1"/>
  <c r="G516" s="1"/>
  <c r="F518"/>
  <c r="F517" s="1"/>
  <c r="F516" s="1"/>
  <c r="H514"/>
  <c r="H513" s="1"/>
  <c r="H512" s="1"/>
  <c r="G514"/>
  <c r="G513" s="1"/>
  <c r="G512" s="1"/>
  <c r="F514"/>
  <c r="F513" s="1"/>
  <c r="F512" s="1"/>
  <c r="H510"/>
  <c r="H509" s="1"/>
  <c r="H508" s="1"/>
  <c r="G510"/>
  <c r="G509" s="1"/>
  <c r="G508" s="1"/>
  <c r="F510"/>
  <c r="F509" s="1"/>
  <c r="F508" s="1"/>
  <c r="H496"/>
  <c r="H495" s="1"/>
  <c r="H494" s="1"/>
  <c r="G496"/>
  <c r="G495" s="1"/>
  <c r="G494" s="1"/>
  <c r="F496"/>
  <c r="F495" s="1"/>
  <c r="F494" s="1"/>
  <c r="H492"/>
  <c r="H491" s="1"/>
  <c r="G492"/>
  <c r="G491" s="1"/>
  <c r="F492"/>
  <c r="F491" s="1"/>
  <c r="H489"/>
  <c r="H488" s="1"/>
  <c r="G489"/>
  <c r="G488" s="1"/>
  <c r="F489"/>
  <c r="F488" s="1"/>
  <c r="H484"/>
  <c r="H483" s="1"/>
  <c r="H482" s="1"/>
  <c r="G484"/>
  <c r="G483" s="1"/>
  <c r="G482" s="1"/>
  <c r="F484"/>
  <c r="F483" s="1"/>
  <c r="F482" s="1"/>
  <c r="H480"/>
  <c r="H479" s="1"/>
  <c r="G480"/>
  <c r="G479" s="1"/>
  <c r="F480"/>
  <c r="F479" s="1"/>
  <c r="H477"/>
  <c r="H476" s="1"/>
  <c r="G477"/>
  <c r="G476" s="1"/>
  <c r="F477"/>
  <c r="F476" s="1"/>
  <c r="H471"/>
  <c r="H470" s="1"/>
  <c r="H469" s="1"/>
  <c r="H468" s="1"/>
  <c r="H467" s="1"/>
  <c r="G471"/>
  <c r="G470" s="1"/>
  <c r="G469" s="1"/>
  <c r="G468" s="1"/>
  <c r="G467" s="1"/>
  <c r="F471"/>
  <c r="F470" s="1"/>
  <c r="F469" s="1"/>
  <c r="F468" s="1"/>
  <c r="F467" s="1"/>
  <c r="H463"/>
  <c r="H462" s="1"/>
  <c r="G463"/>
  <c r="G462" s="1"/>
  <c r="F463"/>
  <c r="F462" s="1"/>
  <c r="H460"/>
  <c r="H459" s="1"/>
  <c r="G460"/>
  <c r="G459" s="1"/>
  <c r="F460"/>
  <c r="F459" s="1"/>
  <c r="H449"/>
  <c r="H448" s="1"/>
  <c r="H447" s="1"/>
  <c r="G449"/>
  <c r="G448" s="1"/>
  <c r="G447" s="1"/>
  <c r="F449"/>
  <c r="F448" s="1"/>
  <c r="F447" s="1"/>
  <c r="H445"/>
  <c r="H444" s="1"/>
  <c r="H443" s="1"/>
  <c r="G445"/>
  <c r="G444" s="1"/>
  <c r="G443" s="1"/>
  <c r="F445"/>
  <c r="F444" s="1"/>
  <c r="F443" s="1"/>
  <c r="H438"/>
  <c r="H437" s="1"/>
  <c r="H436" s="1"/>
  <c r="H435" s="1"/>
  <c r="H434" s="1"/>
  <c r="H433" s="1"/>
  <c r="G438"/>
  <c r="G437" s="1"/>
  <c r="G436" s="1"/>
  <c r="G435" s="1"/>
  <c r="G434" s="1"/>
  <c r="G433" s="1"/>
  <c r="F438"/>
  <c r="F437" s="1"/>
  <c r="F436" s="1"/>
  <c r="F435" s="1"/>
  <c r="F434" s="1"/>
  <c r="F433" s="1"/>
  <c r="H431"/>
  <c r="H430" s="1"/>
  <c r="H429" s="1"/>
  <c r="G431"/>
  <c r="G430" s="1"/>
  <c r="G429" s="1"/>
  <c r="F431"/>
  <c r="F430" s="1"/>
  <c r="F429" s="1"/>
  <c r="H427"/>
  <c r="H426" s="1"/>
  <c r="H425" s="1"/>
  <c r="G427"/>
  <c r="G426" s="1"/>
  <c r="G425" s="1"/>
  <c r="F427"/>
  <c r="F426" s="1"/>
  <c r="F425" s="1"/>
  <c r="H423"/>
  <c r="H422" s="1"/>
  <c r="H421" s="1"/>
  <c r="G423"/>
  <c r="G422" s="1"/>
  <c r="G421" s="1"/>
  <c r="F423"/>
  <c r="F422" s="1"/>
  <c r="F421" s="1"/>
  <c r="H410"/>
  <c r="H409" s="1"/>
  <c r="G410"/>
  <c r="G409" s="1"/>
  <c r="F410"/>
  <c r="F409" s="1"/>
  <c r="H407"/>
  <c r="H406" s="1"/>
  <c r="G407"/>
  <c r="G406" s="1"/>
  <c r="F407"/>
  <c r="F406" s="1"/>
  <c r="H318"/>
  <c r="H317" s="1"/>
  <c r="G318"/>
  <c r="G317" s="1"/>
  <c r="F318"/>
  <c r="F317" s="1"/>
  <c r="H315"/>
  <c r="H314" s="1"/>
  <c r="G315"/>
  <c r="G314" s="1"/>
  <c r="F315"/>
  <c r="F314" s="1"/>
  <c r="H295"/>
  <c r="H294" s="1"/>
  <c r="G295"/>
  <c r="G294" s="1"/>
  <c r="F295"/>
  <c r="F294" s="1"/>
  <c r="H289"/>
  <c r="H288" s="1"/>
  <c r="G289"/>
  <c r="G288" s="1"/>
  <c r="F289"/>
  <c r="F288" s="1"/>
  <c r="H286"/>
  <c r="H285" s="1"/>
  <c r="G286"/>
  <c r="G285" s="1"/>
  <c r="F286"/>
  <c r="F285" s="1"/>
  <c r="H283"/>
  <c r="H282" s="1"/>
  <c r="G283"/>
  <c r="G282" s="1"/>
  <c r="F283"/>
  <c r="F282" s="1"/>
  <c r="H209"/>
  <c r="H208" s="1"/>
  <c r="H207" s="1"/>
  <c r="H206" s="1"/>
  <c r="H205" s="1"/>
  <c r="H204" s="1"/>
  <c r="G209"/>
  <c r="G208" s="1"/>
  <c r="G207" s="1"/>
  <c r="G206" s="1"/>
  <c r="G205" s="1"/>
  <c r="G204" s="1"/>
  <c r="F209"/>
  <c r="F208" s="1"/>
  <c r="F207" s="1"/>
  <c r="F206" s="1"/>
  <c r="F205" s="1"/>
  <c r="F204" s="1"/>
  <c r="H187"/>
  <c r="H186" s="1"/>
  <c r="H185" s="1"/>
  <c r="H184" s="1"/>
  <c r="G187"/>
  <c r="G186" s="1"/>
  <c r="G185" s="1"/>
  <c r="G184" s="1"/>
  <c r="F187"/>
  <c r="F186" s="1"/>
  <c r="F185" s="1"/>
  <c r="F184" s="1"/>
  <c r="H182"/>
  <c r="H181" s="1"/>
  <c r="H174" s="1"/>
  <c r="G182"/>
  <c r="G181" s="1"/>
  <c r="G174" s="1"/>
  <c r="F182"/>
  <c r="F181" s="1"/>
  <c r="F174" s="1"/>
  <c r="H172"/>
  <c r="H171" s="1"/>
  <c r="H164" s="1"/>
  <c r="G172"/>
  <c r="G171" s="1"/>
  <c r="G164" s="1"/>
  <c r="F172"/>
  <c r="F171" s="1"/>
  <c r="F164" s="1"/>
  <c r="H162"/>
  <c r="H161" s="1"/>
  <c r="G162"/>
  <c r="G161" s="1"/>
  <c r="F162"/>
  <c r="F161" s="1"/>
  <c r="H154"/>
  <c r="H153" s="1"/>
  <c r="H152" s="1"/>
  <c r="H151" s="1"/>
  <c r="G154"/>
  <c r="G153" s="1"/>
  <c r="G152" s="1"/>
  <c r="G151" s="1"/>
  <c r="F154"/>
  <c r="F153" s="1"/>
  <c r="F152" s="1"/>
  <c r="F151" s="1"/>
  <c r="H145"/>
  <c r="H144" s="1"/>
  <c r="H143" s="1"/>
  <c r="H142" s="1"/>
  <c r="G145"/>
  <c r="G144" s="1"/>
  <c r="G143" s="1"/>
  <c r="G142" s="1"/>
  <c r="F145"/>
  <c r="F144" s="1"/>
  <c r="F143" s="1"/>
  <c r="F142" s="1"/>
  <c r="H138"/>
  <c r="H137" s="1"/>
  <c r="H136" s="1"/>
  <c r="H135" s="1"/>
  <c r="H134" s="1"/>
  <c r="H133" s="1"/>
  <c r="G138"/>
  <c r="G137" s="1"/>
  <c r="G136" s="1"/>
  <c r="G135" s="1"/>
  <c r="G134" s="1"/>
  <c r="G133" s="1"/>
  <c r="F138"/>
  <c r="F137" s="1"/>
  <c r="F136" s="1"/>
  <c r="F135" s="1"/>
  <c r="F134" s="1"/>
  <c r="F133" s="1"/>
  <c r="H130"/>
  <c r="G130"/>
  <c r="F130"/>
  <c r="H128"/>
  <c r="G128"/>
  <c r="F128"/>
  <c r="H126"/>
  <c r="G126"/>
  <c r="F126"/>
  <c r="H122"/>
  <c r="H121" s="1"/>
  <c r="H120" s="1"/>
  <c r="G122"/>
  <c r="G121" s="1"/>
  <c r="G120" s="1"/>
  <c r="F122"/>
  <c r="F121" s="1"/>
  <c r="F120" s="1"/>
  <c r="H112"/>
  <c r="H111" s="1"/>
  <c r="H110" s="1"/>
  <c r="H109" s="1"/>
  <c r="G112"/>
  <c r="G111" s="1"/>
  <c r="G110" s="1"/>
  <c r="G109" s="1"/>
  <c r="F112"/>
  <c r="F111" s="1"/>
  <c r="F110" s="1"/>
  <c r="F109" s="1"/>
  <c r="H107"/>
  <c r="H106" s="1"/>
  <c r="H105" s="1"/>
  <c r="G107"/>
  <c r="G106" s="1"/>
  <c r="G105" s="1"/>
  <c r="F107"/>
  <c r="F106" s="1"/>
  <c r="F105" s="1"/>
  <c r="H103"/>
  <c r="H102" s="1"/>
  <c r="G103"/>
  <c r="G102" s="1"/>
  <c r="F103"/>
  <c r="F102" s="1"/>
  <c r="H100"/>
  <c r="H99" s="1"/>
  <c r="G100"/>
  <c r="G99" s="1"/>
  <c r="F100"/>
  <c r="F99" s="1"/>
  <c r="H88"/>
  <c r="H87" s="1"/>
  <c r="H86" s="1"/>
  <c r="G88"/>
  <c r="G87" s="1"/>
  <c r="G86" s="1"/>
  <c r="F88"/>
  <c r="F87" s="1"/>
  <c r="F86" s="1"/>
  <c r="H84"/>
  <c r="H83" s="1"/>
  <c r="H82" s="1"/>
  <c r="G84"/>
  <c r="G83" s="1"/>
  <c r="G82" s="1"/>
  <c r="F84"/>
  <c r="F83" s="1"/>
  <c r="F82" s="1"/>
  <c r="H80"/>
  <c r="H79" s="1"/>
  <c r="H78" s="1"/>
  <c r="G80"/>
  <c r="G79" s="1"/>
  <c r="G78" s="1"/>
  <c r="F80"/>
  <c r="F79" s="1"/>
  <c r="F78" s="1"/>
  <c r="H75"/>
  <c r="H74" s="1"/>
  <c r="H73" s="1"/>
  <c r="H72" s="1"/>
  <c r="G75"/>
  <c r="G74" s="1"/>
  <c r="G73" s="1"/>
  <c r="G72" s="1"/>
  <c r="F75"/>
  <c r="F74" s="1"/>
  <c r="F73" s="1"/>
  <c r="F72" s="1"/>
  <c r="H69"/>
  <c r="H68" s="1"/>
  <c r="G69"/>
  <c r="G68" s="1"/>
  <c r="F69"/>
  <c r="F68" s="1"/>
  <c r="H66"/>
  <c r="H65" s="1"/>
  <c r="G66"/>
  <c r="G65" s="1"/>
  <c r="F66"/>
  <c r="F65" s="1"/>
  <c r="H62"/>
  <c r="H61" s="1"/>
  <c r="G62"/>
  <c r="G61" s="1"/>
  <c r="F62"/>
  <c r="F61" s="1"/>
  <c r="H59"/>
  <c r="G59"/>
  <c r="F59"/>
  <c r="H57"/>
  <c r="G57"/>
  <c r="F57"/>
  <c r="H50"/>
  <c r="H49" s="1"/>
  <c r="H48" s="1"/>
  <c r="H47" s="1"/>
  <c r="H46" s="1"/>
  <c r="H45" s="1"/>
  <c r="G50"/>
  <c r="G49" s="1"/>
  <c r="G48" s="1"/>
  <c r="G47" s="1"/>
  <c r="G46" s="1"/>
  <c r="G45" s="1"/>
  <c r="F50"/>
  <c r="F49" s="1"/>
  <c r="F48" s="1"/>
  <c r="F47" s="1"/>
  <c r="F46" s="1"/>
  <c r="F45" s="1"/>
  <c r="H37"/>
  <c r="H36" s="1"/>
  <c r="H35" s="1"/>
  <c r="H34" s="1"/>
  <c r="H33" s="1"/>
  <c r="G37"/>
  <c r="G36" s="1"/>
  <c r="G35" s="1"/>
  <c r="G34" s="1"/>
  <c r="G33" s="1"/>
  <c r="F37"/>
  <c r="F36" s="1"/>
  <c r="F35" s="1"/>
  <c r="F34" s="1"/>
  <c r="F33" s="1"/>
  <c r="H28"/>
  <c r="G28"/>
  <c r="F28"/>
  <c r="H26"/>
  <c r="G26"/>
  <c r="F26"/>
  <c r="H23"/>
  <c r="H22" s="1"/>
  <c r="G23"/>
  <c r="G22" s="1"/>
  <c r="F23"/>
  <c r="F22" s="1"/>
  <c r="H16"/>
  <c r="G16"/>
  <c r="F16"/>
  <c r="F405" l="1"/>
  <c r="F618"/>
  <c r="F617" s="1"/>
  <c r="H922"/>
  <c r="H921" s="1"/>
  <c r="G922"/>
  <c r="G921" s="1"/>
  <c r="F922"/>
  <c r="F921" s="1"/>
  <c r="F881"/>
  <c r="F880" s="1"/>
  <c r="F790"/>
  <c r="F789" s="1"/>
  <c r="G836"/>
  <c r="H881"/>
  <c r="H880" s="1"/>
  <c r="G881"/>
  <c r="G880" s="1"/>
  <c r="H705"/>
  <c r="H704" s="1"/>
  <c r="H697" s="1"/>
  <c r="G704"/>
  <c r="G697" s="1"/>
  <c r="G705"/>
  <c r="F704"/>
  <c r="F697" s="1"/>
  <c r="F705"/>
  <c r="H836"/>
  <c r="H790"/>
  <c r="H789" s="1"/>
  <c r="G790"/>
  <c r="G789" s="1"/>
  <c r="H405"/>
  <c r="H404" s="1"/>
  <c r="G405"/>
  <c r="G404" s="1"/>
  <c r="H281"/>
  <c r="H252" s="1"/>
  <c r="G281"/>
  <c r="G252" s="1"/>
  <c r="F281"/>
  <c r="F252" s="1"/>
  <c r="F602"/>
  <c r="F601" s="1"/>
  <c r="G901"/>
  <c r="F901"/>
  <c r="F900" s="1"/>
  <c r="G582" i="155"/>
  <c r="G581" s="1"/>
  <c r="G580" s="1"/>
  <c r="G575" s="1"/>
  <c r="G574" s="1"/>
  <c r="G495" s="1"/>
  <c r="F468" i="147"/>
  <c r="F467" s="1"/>
  <c r="F464" s="1"/>
  <c r="F463" s="1"/>
  <c r="F440" s="1"/>
  <c r="F582" i="155"/>
  <c r="F581" s="1"/>
  <c r="F580" s="1"/>
  <c r="F575" s="1"/>
  <c r="F574" s="1"/>
  <c r="F495" s="1"/>
  <c r="E468" i="147"/>
  <c r="E467" s="1"/>
  <c r="E464" s="1"/>
  <c r="E463" s="1"/>
  <c r="E440" s="1"/>
  <c r="E582" i="155"/>
  <c r="E581" s="1"/>
  <c r="E580" s="1"/>
  <c r="E575" s="1"/>
  <c r="E574" s="1"/>
  <c r="E495" s="1"/>
  <c r="D468" i="147"/>
  <c r="D467" s="1"/>
  <c r="D464" s="1"/>
  <c r="D463" s="1"/>
  <c r="D440" s="1"/>
  <c r="D426" s="1"/>
  <c r="D9" s="1"/>
  <c r="H901" i="154"/>
  <c r="H900" s="1"/>
  <c r="H816"/>
  <c r="H815" s="1"/>
  <c r="G816"/>
  <c r="G815" s="1"/>
  <c r="F816"/>
  <c r="F815" s="1"/>
  <c r="H475"/>
  <c r="H474" s="1"/>
  <c r="H639"/>
  <c r="H638" s="1"/>
  <c r="H637" s="1"/>
  <c r="H636" s="1"/>
  <c r="H635" s="1"/>
  <c r="H458"/>
  <c r="H457" s="1"/>
  <c r="H451" s="1"/>
  <c r="G475"/>
  <c r="G458"/>
  <c r="G457" s="1"/>
  <c r="G451" s="1"/>
  <c r="G487"/>
  <c r="G486" s="1"/>
  <c r="F487"/>
  <c r="F486" s="1"/>
  <c r="F458"/>
  <c r="F457" s="1"/>
  <c r="F451" s="1"/>
  <c r="F475"/>
  <c r="F474" s="1"/>
  <c r="H617"/>
  <c r="G617"/>
  <c r="H77"/>
  <c r="H71" s="1"/>
  <c r="G77"/>
  <c r="G71" s="1"/>
  <c r="F77"/>
  <c r="F71" s="1"/>
  <c r="F404"/>
  <c r="G639"/>
  <c r="G638" s="1"/>
  <c r="G637" s="1"/>
  <c r="G636" s="1"/>
  <c r="G635" s="1"/>
  <c r="H487"/>
  <c r="H486" s="1"/>
  <c r="G602"/>
  <c r="F639"/>
  <c r="F638" s="1"/>
  <c r="F637" s="1"/>
  <c r="F636" s="1"/>
  <c r="F635" s="1"/>
  <c r="H602"/>
  <c r="H684"/>
  <c r="F684"/>
  <c r="G684"/>
  <c r="G683" s="1"/>
  <c r="H722"/>
  <c r="H721" s="1"/>
  <c r="H720" s="1"/>
  <c r="G722"/>
  <c r="G721" s="1"/>
  <c r="G720" s="1"/>
  <c r="F722"/>
  <c r="F721" s="1"/>
  <c r="F720" s="1"/>
  <c r="H888"/>
  <c r="G125"/>
  <c r="G124" s="1"/>
  <c r="G119" s="1"/>
  <c r="G114" s="1"/>
  <c r="H125"/>
  <c r="H124" s="1"/>
  <c r="H119" s="1"/>
  <c r="H114" s="1"/>
  <c r="F125"/>
  <c r="F124" s="1"/>
  <c r="F119" s="1"/>
  <c r="F114" s="1"/>
  <c r="F507"/>
  <c r="F506" s="1"/>
  <c r="H507"/>
  <c r="H506" s="1"/>
  <c r="G507"/>
  <c r="G506" s="1"/>
  <c r="G160"/>
  <c r="F160"/>
  <c r="F159" s="1"/>
  <c r="F158" s="1"/>
  <c r="F157" s="1"/>
  <c r="H160"/>
  <c r="H577"/>
  <c r="H569" s="1"/>
  <c r="H560" s="1"/>
  <c r="G577"/>
  <c r="G569" s="1"/>
  <c r="G560" s="1"/>
  <c r="F577"/>
  <c r="F569" s="1"/>
  <c r="F25"/>
  <c r="H25"/>
  <c r="G25"/>
  <c r="H15"/>
  <c r="H14" s="1"/>
  <c r="H13" s="1"/>
  <c r="H12" s="1"/>
  <c r="G15"/>
  <c r="G14" s="1"/>
  <c r="G13" s="1"/>
  <c r="G12" s="1"/>
  <c r="F15"/>
  <c r="F14" s="1"/>
  <c r="F13" s="1"/>
  <c r="F12" s="1"/>
  <c r="F213"/>
  <c r="F212" s="1"/>
  <c r="H213"/>
  <c r="H212" s="1"/>
  <c r="G213"/>
  <c r="G212" s="1"/>
  <c r="G731"/>
  <c r="G730" s="1"/>
  <c r="G729" s="1"/>
  <c r="G728" s="1"/>
  <c r="F742"/>
  <c r="F741" s="1"/>
  <c r="F740" s="1"/>
  <c r="F739" s="1"/>
  <c r="F738" s="1"/>
  <c r="F737" s="1"/>
  <c r="F736" s="1"/>
  <c r="F313"/>
  <c r="F312" s="1"/>
  <c r="F56"/>
  <c r="F55" s="1"/>
  <c r="F652"/>
  <c r="H525"/>
  <c r="H524" s="1"/>
  <c r="H523" s="1"/>
  <c r="H522" s="1"/>
  <c r="H521" s="1"/>
  <c r="F538"/>
  <c r="F537" s="1"/>
  <c r="F532" s="1"/>
  <c r="F531" s="1"/>
  <c r="F530" s="1"/>
  <c r="H974"/>
  <c r="F888"/>
  <c r="F731"/>
  <c r="F730" s="1"/>
  <c r="F729" s="1"/>
  <c r="F728" s="1"/>
  <c r="F848"/>
  <c r="F847" s="1"/>
  <c r="F846" s="1"/>
  <c r="G98"/>
  <c r="G97" s="1"/>
  <c r="G90" s="1"/>
  <c r="F525"/>
  <c r="H731"/>
  <c r="H730" s="1"/>
  <c r="H729" s="1"/>
  <c r="H728" s="1"/>
  <c r="G888"/>
  <c r="G742"/>
  <c r="G741" s="1"/>
  <c r="G740" s="1"/>
  <c r="G739" s="1"/>
  <c r="G738" s="1"/>
  <c r="G737" s="1"/>
  <c r="G736" s="1"/>
  <c r="G974"/>
  <c r="H940"/>
  <c r="H939" s="1"/>
  <c r="G442"/>
  <c r="G441" s="1"/>
  <c r="G652"/>
  <c r="F940"/>
  <c r="F939" s="1"/>
  <c r="H652"/>
  <c r="H742"/>
  <c r="H741" s="1"/>
  <c r="H740" s="1"/>
  <c r="H739" s="1"/>
  <c r="H738" s="1"/>
  <c r="H737" s="1"/>
  <c r="H736" s="1"/>
  <c r="H442"/>
  <c r="H441" s="1"/>
  <c r="G538"/>
  <c r="G537" s="1"/>
  <c r="G532" s="1"/>
  <c r="G531" s="1"/>
  <c r="G530" s="1"/>
  <c r="G987"/>
  <c r="G986" s="1"/>
  <c r="G985" s="1"/>
  <c r="G984" s="1"/>
  <c r="G983" s="1"/>
  <c r="G982" s="1"/>
  <c r="H56"/>
  <c r="H55" s="1"/>
  <c r="F442"/>
  <c r="F441" s="1"/>
  <c r="G848"/>
  <c r="G847" s="1"/>
  <c r="G846" s="1"/>
  <c r="G962"/>
  <c r="H987"/>
  <c r="H986" s="1"/>
  <c r="H985" s="1"/>
  <c r="H984" s="1"/>
  <c r="H983" s="1"/>
  <c r="H982" s="1"/>
  <c r="H313"/>
  <c r="H312" s="1"/>
  <c r="G940"/>
  <c r="G939" s="1"/>
  <c r="G955"/>
  <c r="H955"/>
  <c r="F420"/>
  <c r="F419" s="1"/>
  <c r="H141"/>
  <c r="H140" s="1"/>
  <c r="H132" s="1"/>
  <c r="H962"/>
  <c r="F141"/>
  <c r="F140" s="1"/>
  <c r="F132" s="1"/>
  <c r="G313"/>
  <c r="G312" s="1"/>
  <c r="F962"/>
  <c r="G141"/>
  <c r="G140" s="1"/>
  <c r="G132" s="1"/>
  <c r="H848"/>
  <c r="H847" s="1"/>
  <c r="H846" s="1"/>
  <c r="G900"/>
  <c r="G56"/>
  <c r="G55" s="1"/>
  <c r="F64"/>
  <c r="G64"/>
  <c r="H538"/>
  <c r="H537" s="1"/>
  <c r="H532" s="1"/>
  <c r="H531" s="1"/>
  <c r="H530" s="1"/>
  <c r="H98"/>
  <c r="H97" s="1"/>
  <c r="H90" s="1"/>
  <c r="G525"/>
  <c r="G524" s="1"/>
  <c r="G523" s="1"/>
  <c r="G522" s="1"/>
  <c r="G521" s="1"/>
  <c r="F955"/>
  <c r="F974"/>
  <c r="F987"/>
  <c r="F986" s="1"/>
  <c r="F985" s="1"/>
  <c r="F984" s="1"/>
  <c r="F983" s="1"/>
  <c r="F982" s="1"/>
  <c r="H64"/>
  <c r="F98"/>
  <c r="F97" s="1"/>
  <c r="F90" s="1"/>
  <c r="G420"/>
  <c r="G419" s="1"/>
  <c r="H420"/>
  <c r="H419" s="1"/>
  <c r="G474"/>
  <c r="F21" l="1"/>
  <c r="F20" s="1"/>
  <c r="F19" s="1"/>
  <c r="F18" s="1"/>
  <c r="H20"/>
  <c r="H19" s="1"/>
  <c r="H18" s="1"/>
  <c r="H21"/>
  <c r="G21"/>
  <c r="G20" s="1"/>
  <c r="G19" s="1"/>
  <c r="G18" s="1"/>
  <c r="G650"/>
  <c r="G649" s="1"/>
  <c r="G648" s="1"/>
  <c r="G647" s="1"/>
  <c r="G651"/>
  <c r="F651"/>
  <c r="F650" s="1"/>
  <c r="F649" s="1"/>
  <c r="F648" s="1"/>
  <c r="F647" s="1"/>
  <c r="H651"/>
  <c r="H650" s="1"/>
  <c r="H649" s="1"/>
  <c r="H648" s="1"/>
  <c r="H647" s="1"/>
  <c r="H973"/>
  <c r="H972" s="1"/>
  <c r="H971" s="1"/>
  <c r="G973"/>
  <c r="G972" s="1"/>
  <c r="G971" s="1"/>
  <c r="F972"/>
  <c r="F971" s="1"/>
  <c r="F973"/>
  <c r="G835"/>
  <c r="G834" s="1"/>
  <c r="G833" s="1"/>
  <c r="F835"/>
  <c r="F834" s="1"/>
  <c r="F833" s="1"/>
  <c r="H835"/>
  <c r="H834" s="1"/>
  <c r="H833" s="1"/>
  <c r="F600"/>
  <c r="H683"/>
  <c r="H682" s="1"/>
  <c r="H681" s="1"/>
  <c r="H680" s="1"/>
  <c r="F683"/>
  <c r="F682" s="1"/>
  <c r="F681" s="1"/>
  <c r="F680" s="1"/>
  <c r="F679" s="1"/>
  <c r="F426" i="147"/>
  <c r="F9" s="1"/>
  <c r="E426"/>
  <c r="E9" s="1"/>
  <c r="G427" i="155"/>
  <c r="E33" i="143"/>
  <c r="E31" s="1"/>
  <c r="F427" i="155"/>
  <c r="D33" i="143"/>
  <c r="D31" s="1"/>
  <c r="E427" i="155"/>
  <c r="C33" i="143"/>
  <c r="C31" s="1"/>
  <c r="H601" i="154"/>
  <c r="H600" s="1"/>
  <c r="G601"/>
  <c r="G600" s="1"/>
  <c r="F235"/>
  <c r="G682"/>
  <c r="F560"/>
  <c r="F559" s="1"/>
  <c r="F558" s="1"/>
  <c r="H559"/>
  <c r="H558" s="1"/>
  <c r="G559"/>
  <c r="G558" s="1"/>
  <c r="H403"/>
  <c r="H402" s="1"/>
  <c r="G403"/>
  <c r="G402" s="1"/>
  <c r="F403"/>
  <c r="F402" s="1"/>
  <c r="F473"/>
  <c r="F466" s="1"/>
  <c r="G473"/>
  <c r="G466" s="1"/>
  <c r="H520"/>
  <c r="F524"/>
  <c r="F523" s="1"/>
  <c r="F522" s="1"/>
  <c r="F521" s="1"/>
  <c r="G788"/>
  <c r="G787" s="1"/>
  <c r="G520"/>
  <c r="F440"/>
  <c r="H920"/>
  <c r="H919" s="1"/>
  <c r="F920"/>
  <c r="F919" s="1"/>
  <c r="G920"/>
  <c r="G919" s="1"/>
  <c r="F788"/>
  <c r="F787" s="1"/>
  <c r="H788"/>
  <c r="H787" s="1"/>
  <c r="G54"/>
  <c r="G53" s="1"/>
  <c r="G52" s="1"/>
  <c r="G159"/>
  <c r="G158" s="1"/>
  <c r="G954"/>
  <c r="H54"/>
  <c r="H53" s="1"/>
  <c r="H52" s="1"/>
  <c r="G440"/>
  <c r="F954"/>
  <c r="F54"/>
  <c r="F53" s="1"/>
  <c r="F52" s="1"/>
  <c r="H954"/>
  <c r="H440"/>
  <c r="H159"/>
  <c r="H158" s="1"/>
  <c r="H473"/>
  <c r="H466" s="1"/>
  <c r="G11" l="1"/>
  <c r="F953"/>
  <c r="F786" s="1"/>
  <c r="F785" s="1"/>
  <c r="F11"/>
  <c r="H11"/>
  <c r="G953"/>
  <c r="G786" s="1"/>
  <c r="G785" s="1"/>
  <c r="H953"/>
  <c r="H786" s="1"/>
  <c r="H785" s="1"/>
  <c r="H156"/>
  <c r="H157"/>
  <c r="G157"/>
  <c r="G156" s="1"/>
  <c r="G681"/>
  <c r="G680" s="1"/>
  <c r="G679" s="1"/>
  <c r="H349"/>
  <c r="G349"/>
  <c r="H550"/>
  <c r="G550"/>
  <c r="F550"/>
  <c r="H679"/>
  <c r="G235"/>
  <c r="G234" s="1"/>
  <c r="G211" s="1"/>
  <c r="F156"/>
  <c r="F349"/>
  <c r="F465"/>
  <c r="H465"/>
  <c r="G465"/>
  <c r="H235"/>
  <c r="H234" s="1"/>
  <c r="H211" s="1"/>
  <c r="F234"/>
  <c r="F211" s="1"/>
  <c r="F520"/>
  <c r="G10" l="1"/>
  <c r="G9" s="1"/>
  <c r="H10"/>
  <c r="H9" s="1"/>
  <c r="F10"/>
  <c r="F9" s="1"/>
</calcChain>
</file>

<file path=xl/sharedStrings.xml><?xml version="1.0" encoding="utf-8"?>
<sst xmlns="http://schemas.openxmlformats.org/spreadsheetml/2006/main" count="7253" uniqueCount="833">
  <si>
    <t>Всего: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</si>
  <si>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</si>
  <si>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Торжокская городская Дума</t>
  </si>
  <si>
    <t>1</t>
  </si>
  <si>
    <t>0501</t>
  </si>
  <si>
    <t>Жилищное хозяйство</t>
  </si>
  <si>
    <t>0409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</si>
  <si>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</si>
  <si>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</si>
  <si>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011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</si>
  <si>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</si>
  <si>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</si>
  <si>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</si>
  <si>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</si>
  <si>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006</t>
  </si>
  <si>
    <t>ППП</t>
  </si>
  <si>
    <t>КЦСР</t>
  </si>
  <si>
    <t>КВР</t>
  </si>
  <si>
    <t>Наименование</t>
  </si>
  <si>
    <t>001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</si>
  <si>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</si>
  <si>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</si>
  <si>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</si>
  <si>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</si>
  <si>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</si>
  <si>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</si>
  <si>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Другие вопросы в области национальной экономики</t>
  </si>
  <si>
    <t>Жилищно-коммунальное хозяйство</t>
  </si>
  <si>
    <t>Благоустройство</t>
  </si>
  <si>
    <t>Образование</t>
  </si>
  <si>
    <t>Физическая культура и спорт</t>
  </si>
  <si>
    <t>Социальная политика</t>
  </si>
  <si>
    <t>Пенсионное обеспечение</t>
  </si>
  <si>
    <t>005</t>
  </si>
  <si>
    <t>Социальное обеспечение населения</t>
  </si>
  <si>
    <t>002</t>
  </si>
  <si>
    <t>РП</t>
  </si>
  <si>
    <t>0700</t>
  </si>
  <si>
    <t>0707</t>
  </si>
  <si>
    <t>1000</t>
  </si>
  <si>
    <t>1003</t>
  </si>
  <si>
    <t>0800</t>
  </si>
  <si>
    <t>0801</t>
  </si>
  <si>
    <t>0102</t>
  </si>
  <si>
    <t>0103</t>
  </si>
  <si>
    <t>0104</t>
  </si>
  <si>
    <t>0106</t>
  </si>
  <si>
    <t>0111</t>
  </si>
  <si>
    <t>0412</t>
  </si>
  <si>
    <t>0503</t>
  </si>
  <si>
    <t>0701</t>
  </si>
  <si>
    <t>0702</t>
  </si>
  <si>
    <t>0709</t>
  </si>
  <si>
    <t>1001</t>
  </si>
  <si>
    <t>0100</t>
  </si>
  <si>
    <t>0300</t>
  </si>
  <si>
    <t>0400</t>
  </si>
  <si>
    <t>0500</t>
  </si>
  <si>
    <t>ВСЕГО</t>
  </si>
  <si>
    <t>Функционирование высшего должностного лица субъекта Российской Федерации и муниципального образования</t>
  </si>
  <si>
    <t>0113</t>
  </si>
  <si>
    <t>1100</t>
  </si>
  <si>
    <t>Массовый спорт</t>
  </si>
  <si>
    <t>Средства массовой информации</t>
  </si>
  <si>
    <t>1204</t>
  </si>
  <si>
    <t>Другие вопросы в области средств массовой информации</t>
  </si>
  <si>
    <t/>
  </si>
  <si>
    <t>Пенсии за выслугу лет к трудовой пенсии по старости (инвалидности) лицам, замещавшим должности муниципальной службы муниципального образования город Торжок</t>
  </si>
  <si>
    <t>100</t>
  </si>
  <si>
    <t>200</t>
  </si>
  <si>
    <t>800</t>
  </si>
  <si>
    <t>Иные бюджетные ассигнования</t>
  </si>
  <si>
    <t>400</t>
  </si>
  <si>
    <t>300</t>
  </si>
  <si>
    <t>Социальное обеспечение и иные выплаты населению</t>
  </si>
  <si>
    <t>0304</t>
  </si>
  <si>
    <t>Органы юстиции</t>
  </si>
  <si>
    <t>2</t>
  </si>
  <si>
    <t>3</t>
  </si>
  <si>
    <t>4</t>
  </si>
  <si>
    <t>5</t>
  </si>
  <si>
    <t>6</t>
  </si>
  <si>
    <t xml:space="preserve">Культура,  кинематография </t>
  </si>
  <si>
    <t>Предоставление субсидий бюджетным, автономным учреждениям и иным некоммерческим организациям</t>
  </si>
  <si>
    <t>1004</t>
  </si>
  <si>
    <t>Охрана семьи и детства</t>
  </si>
  <si>
    <t>1102</t>
  </si>
  <si>
    <t>Сумма, тыс. руб.</t>
  </si>
  <si>
    <t>плановый период</t>
  </si>
  <si>
    <t>Дорожное хозяйство (дорожные фонды)</t>
  </si>
  <si>
    <t>0703</t>
  </si>
  <si>
    <t>Дополнительное образование детей</t>
  </si>
  <si>
    <t>1200</t>
  </si>
  <si>
    <t>7</t>
  </si>
  <si>
    <t>8</t>
  </si>
  <si>
    <t>Закупка товаров, работ и услуг для обеспечения  государственных (муниципальных ) нужд</t>
  </si>
  <si>
    <t>Капитальные  вложения в объекты недвижимого имущества государственной (муниципальной) собственности</t>
  </si>
  <si>
    <t>600</t>
  </si>
  <si>
    <t>Предоставление субсидий  бюджетным, автономным учреждениям и иным некоммерческим организациям</t>
  </si>
  <si>
    <t xml:space="preserve">Молодежная политика </t>
  </si>
  <si>
    <t xml:space="preserve">Уплата налогов, сборов и иных платежей </t>
  </si>
  <si>
    <t>320</t>
  </si>
  <si>
    <t>Социальные выплаты гражданам, кроме публичных нормативных социальных выплат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</si>
  <si>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</si>
  <si>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Субсидии бюджетным учреждениям</t>
  </si>
  <si>
    <t>Расходы, не включенные в муниципальные программы</t>
  </si>
  <si>
    <t>Оценка недвижимости, признание прав и регулирование отношений по муниципальной собственности</t>
  </si>
  <si>
    <t>Подпрограмма "Обеспечение эффективного управления имуществом города и вовлечение его в хозяйственный оборот"</t>
  </si>
  <si>
    <t>Мероприятие "Управление муниципальным имуществом"</t>
  </si>
  <si>
    <t xml:space="preserve">Содержание имущества казны муниципального образования </t>
  </si>
  <si>
    <t>9900000000</t>
  </si>
  <si>
    <t xml:space="preserve">Формирование земельных участков, находящихся в ведении муниципального образования </t>
  </si>
  <si>
    <t>Мероприятие "Формирование муниципального жилищного фонда"</t>
  </si>
  <si>
    <t>Взносы на капитальный ремонт общего домового имущества многоквартирных домов в части доли имущества, находящегося в муниципальной собственности</t>
  </si>
  <si>
    <t>Подпрограмма  "Создание условий для воспитания гармоничного развития личности"</t>
  </si>
  <si>
    <t>Мероприятие  "Поддержка деятельности городских трудовых объединений молодежи по организации временной занятости обучающихся в свободное от учебы время"</t>
  </si>
  <si>
    <t>Организация временной занятости несовершеннолетних в свободное от учебы время</t>
  </si>
  <si>
    <t>Обеспечение деятельности исполнительно-распорядительного органа местного самоуправления</t>
  </si>
  <si>
    <t>Обеспечение деятельности исполнительно-распорядительных органов местного самоуправления за исключением переданных государственных полномочий</t>
  </si>
  <si>
    <t>410</t>
  </si>
  <si>
    <t>Бюджетные инвестиции</t>
  </si>
  <si>
    <t>Подпрограмма "Дополнительное образование "</t>
  </si>
  <si>
    <t>Мероприятие "Оказание муниципальных услуг, выполнение работ муниципальными организациями, реализующими программы дополнительного образования"</t>
  </si>
  <si>
    <t>Оказание муниципальными учреждениями муниципальных услуг, выполнение работ</t>
  </si>
  <si>
    <t>Подпрограмма "Дорожное хозяйство "</t>
  </si>
  <si>
    <t>Содержание автомобильных дорог общего пользования местного значения и искусственных сооружений на них</t>
  </si>
  <si>
    <t>Подпрограмма "Обеспечение безопасности дорожного движения"</t>
  </si>
  <si>
    <t>Разметка объектов дорожного хозяйства</t>
  </si>
  <si>
    <t>Мероприятие  "Содержание объектов благоустройства"</t>
  </si>
  <si>
    <t>Уличное освещение в границах города</t>
  </si>
  <si>
    <t>Озеленение территорий</t>
  </si>
  <si>
    <t>Содержание мест захоронения</t>
  </si>
  <si>
    <t>Подпрограмма  "Формирование благоприятной социальной среды и развитие международных, межмуниципальных связей"</t>
  </si>
  <si>
    <t>Мероприятие  "Развитие международных и межмуниципальных связей"</t>
  </si>
  <si>
    <t>Мероприятия по вовлечению молодежи в добровольческую деятельность</t>
  </si>
  <si>
    <t>Именные стипендии Главы города</t>
  </si>
  <si>
    <t>Мероприятие  "Проведение общегородских мероприятий в области молодежной политики"</t>
  </si>
  <si>
    <t>Проведение мероприятий по профилактике безнадзорности и правонарушений несовершеннолетних</t>
  </si>
  <si>
    <t xml:space="preserve">Подпрограмма "Создание условий для организации досуга и обеспечения жителей города услугами организаций культуры" </t>
  </si>
  <si>
    <t>Проведение общегородских мероприятий</t>
  </si>
  <si>
    <t>310</t>
  </si>
  <si>
    <t>Публичные нормативные социальные выплаты гражданам</t>
  </si>
  <si>
    <t>Субсидии социально ориентированным некоммерческим организациям в реализации ими целевых социальных проектов</t>
  </si>
  <si>
    <t>Субсидии некоммерческим организациям (за исключением государственных (муниципальных) учреждений)</t>
  </si>
  <si>
    <t>Мероприятие "Поощрение жителей города, добившихся значительных успехов в различных сферах деятельности"</t>
  </si>
  <si>
    <t>Обеспечение деятельности органов местного самоуправления и учреждений, обеспечивающих их деятельность</t>
  </si>
  <si>
    <t>Глава муниципального образования</t>
  </si>
  <si>
    <t>Финансовое обеспечение реализации государственных полномочий по созданию, исполнению полномочий и обеспечению деятельности комиссий по делам несовершеннолетних</t>
  </si>
  <si>
    <t>Проведение конкурсов "Лучший по профессии" и "Новотор года"</t>
  </si>
  <si>
    <t>Премии и гранты</t>
  </si>
  <si>
    <t>Подпрограмма "Обеспечение безопасности территории города"</t>
  </si>
  <si>
    <t>Финансовое обеспечение реализации государственных полномочий Тверской области по созданию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</si>
  <si>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0105</t>
  </si>
  <si>
    <t>Судебная система</t>
  </si>
  <si>
    <t>Мероприятия, не включенные в муниципальные программы муниципального образования город Торжок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</si>
  <si>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</si>
  <si>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Обеспечение деятельности учреждений, обеспечивающих деятельность органов местного самоуправления</t>
  </si>
  <si>
    <t>Расходы на выплаты персоналу казенных учреждений</t>
  </si>
  <si>
    <t>Осуществление государственных полномочий на государственную регистрацию актов гражданского состояния</t>
  </si>
  <si>
    <t>870</t>
  </si>
  <si>
    <t>Резервные средства</t>
  </si>
  <si>
    <t>Обеспечение деятельности  представительного органа местного самоуправления</t>
  </si>
  <si>
    <t>Обеспечение деятельности центрального аппарата Торжокской городской Думы</t>
  </si>
  <si>
    <t>Подпрограмма "Общее образование "</t>
  </si>
  <si>
    <t>Мероприятие "Оказание муниципальных услуг, выполнение работ муниципальными образовательными организациями, реализующими основные общеобразовательные программы"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</si>
  <si>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</si>
  <si>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Мероприятие  "Организация отдыха детей в каникулярное время "</t>
  </si>
  <si>
    <t>Мероприятие  "Реализация механизмов развития  кадрового потенциала  образовательных организаций"</t>
  </si>
  <si>
    <t>Укрепление и развитие кадрового потенциала в системе образования, стимулирование высокого качества работы</t>
  </si>
  <si>
    <t>Мероприятие "Обеспечение мер социальной защиты в образовательных организациях, реализующих основные общеобразовательные программы"</t>
  </si>
  <si>
    <t>Мероприятие "Оказание поддержки гражданам и их объединениям, участвующим в охране общественного порядка, создание условий для деятельности народных дружин"</t>
  </si>
  <si>
    <t xml:space="preserve">Поощрение народных дружин, участвующих в охране общественного порядка </t>
  </si>
  <si>
    <t>Мероприятие "Оказание муниципальных услуг, выполнение работ муниципальными учреждениями в сфере предупреждения и ликвидации последствий чрезвычайных ситуаций"</t>
  </si>
  <si>
    <t>Мероприятие  "Содержание объектов дорожного хозяйства"</t>
  </si>
  <si>
    <t>Мероприятие  "Проектирование, капитальный ремонт и ремонт автомобильных дорог общего пользования местного значения и искусственных сооружений на них"</t>
  </si>
  <si>
    <t>Мероприятие "Содержание и ремонт технических средств организации дорожного движения"</t>
  </si>
  <si>
    <t>Подпрограмма "Организация благоустройства территории города"</t>
  </si>
  <si>
    <t>Подпрограмма "Организация библиотечного обслуживания населения"</t>
  </si>
  <si>
    <t xml:space="preserve">Мероприятие "Оказание муниципальных услуг, выполнение работ муниципальными библиотеками" </t>
  </si>
  <si>
    <t>Мероприятие  "Приобретение основных средств, не относящихся к объектам недвижимости, муниципальными библиотеками"</t>
  </si>
  <si>
    <t>Мероприятие  "Оказание муниципальных услуг, выполнение работ муниципальными учреждениями культурно-досугового типа"</t>
  </si>
  <si>
    <t>Мероприятие  "Проведение общегородских мероприятий в области культуры"</t>
  </si>
  <si>
    <t>Мероприятие "Поддержка отдельных категорий граждан"</t>
  </si>
  <si>
    <t>Мероприятие "Поддержка социально ориентированных некоммерческих организаций"</t>
  </si>
  <si>
    <t>Социальная поддержка лиц, удостоенных звания "Почетный гражданин города Торжка"</t>
  </si>
  <si>
    <t>Мероприятие "Поддержка средств массовой информации  города"</t>
  </si>
  <si>
    <t>Подпрограмма "Массовая физкультурно-спортивная работа"</t>
  </si>
  <si>
    <t>Мероприятие "Оказание муниципальных услуг, выполнение работ муниципальными учреждениями  спортивной направленности"</t>
  </si>
  <si>
    <t>Мероприятие "Возмещение недополученных доходов в связи с выполнением работ, оказанием услуг для льготной категории потребителей муниципальными учреждениями спортивной направленности"</t>
  </si>
  <si>
    <t xml:space="preserve">Возмещение недополученных доходов  </t>
  </si>
  <si>
    <t>Мероприятие "Организация и проведение спортивно-массовых мероприятий и соревнований"</t>
  </si>
  <si>
    <t>Участие спортсменов города в спортивно массовых мероприятиях всероссийского и регионального уровней</t>
  </si>
  <si>
    <t>0705</t>
  </si>
  <si>
    <t>Подпрограмма "Создание условий для эффективного функционирования исполнительных органов местного самоуправления"</t>
  </si>
  <si>
    <t xml:space="preserve">Информационно-справочное обеспечение  </t>
  </si>
  <si>
    <t>Мероприятие "Развитие кадрового потенциала исполнительных органов местного самоуправления"</t>
  </si>
  <si>
    <t>Мероприятие "Мониторинг социально-экономического развития муниципального образования"</t>
  </si>
  <si>
    <t>Повышение квалификации кадров</t>
  </si>
  <si>
    <t xml:space="preserve">Участие в работе общественных объединений и ассоциаций муниципальных образований </t>
  </si>
  <si>
    <t>Подпрограмма "Развитие информационно-коммуникационной инфраструктуры органов местного самоуправления и муниципальных учреждений"</t>
  </si>
  <si>
    <t>Мероприятие "Обеспечение централизованного размещения городских информационных систем и ресурсов на базе муниципального казенного учреждения"</t>
  </si>
  <si>
    <t xml:space="preserve">Обеспечение программное прикладное для решения конкретных отраслевых задач, управления процессами организациии и услуги по его сопровождению </t>
  </si>
  <si>
    <t>Мероприятие "Обеспечение информационной безопасности  деятельности  органов местного самоуправления и муниципальных учреждений"</t>
  </si>
  <si>
    <t>Программные средства обеспечения информационной безопасности</t>
  </si>
  <si>
    <t>Мероприятие  "Реализация механизмов развития  потенциала обучающихся"</t>
  </si>
  <si>
    <t>Проведение олимпиад, конкурсов, фестивалей, выставок для обучающихся муниципальных образовательных учреждений</t>
  </si>
  <si>
    <t>Информационное, компьютерное и телекоммуникационное оборудование, системное программное обеспечение и офисные приложения</t>
  </si>
  <si>
    <t>Подпрограмма "Благоустройство дворовых и общественных территорий в целях реализации приоритетного проекта "Формирование комфортной городской среды"</t>
  </si>
  <si>
    <t>Мероприятие  "Организация деятельности по сбору (в том числе раздельному сбору), транспортированию, обработке, утилизации, обезвреживанию, захоронению твердых коммунальных отходов"</t>
  </si>
  <si>
    <t>0108</t>
  </si>
  <si>
    <t xml:space="preserve"> Международные отношения и международное сотрудничество</t>
  </si>
  <si>
    <t>Международные отношения и международное сотрудничество</t>
  </si>
  <si>
    <t>Организационное обеспечение проведения мероприятий с участием Главы города</t>
  </si>
  <si>
    <t>Компенсация части родительской платы за присмотр и уход за ребенком в муниципальных образовательных организациях и иных образовательных организациях (за исключением государственных образовательных организаций), реализующих образовательную программу дошкольного образования</t>
  </si>
  <si>
    <t>Подпрограмма "Общее образование"</t>
  </si>
  <si>
    <t>Реализация мероприятий по обеспечению жильем молодых семей</t>
  </si>
  <si>
    <t>Иные закупки товаров, работ и услуг для обеспечения
государственных (муниципальных) нужд</t>
  </si>
  <si>
    <t xml:space="preserve"> Расходы на выплаты персоналу государственных
(муниципальных) органов</t>
  </si>
  <si>
    <t>Профессиональная подготовка, переподготовка и повышение квалификации</t>
  </si>
  <si>
    <t>Предоставление платежей, взносов, безвозмездных
перечислений субъектам международного права</t>
  </si>
  <si>
    <t>Поощрение лиц молодежного возраста, добившихся высоких результатов в учебе и общественной жизни</t>
  </si>
  <si>
    <t>Реализация проектов по благоустройству</t>
  </si>
  <si>
    <t>Проектирование, капитальный ремонт и ремонт объектов</t>
  </si>
  <si>
    <t>Мероприятие  "Проектирование, капитальный ремонт и ремонт дворовых территорий многоквартирных домов, проездов к дворовым территориям многоквартирных домов"</t>
  </si>
  <si>
    <t>Подпрограмма " Обеспечение безопасности муниципальных учреждений"</t>
  </si>
  <si>
    <t>0502</t>
  </si>
  <si>
    <t>Коммунальное хозяйство</t>
  </si>
  <si>
    <t>Информирование населения города Торжка о деятельности органов местного самоуправления через электронные и печатные средства массовой информации</t>
  </si>
  <si>
    <t>Подпрограмма "Обеспечение безопасности муниципальных учреждений"</t>
  </si>
  <si>
    <t>Мероприятие "Проведение капитального ремонта и ремонта объектов недвижимого имущества и (или) особо ценного движимого имущества муниципальными образовательными организациями, реализующими основные общеобразовательные программы"</t>
  </si>
  <si>
    <t>Спорт высших достижений</t>
  </si>
  <si>
    <t>Подпрограмма "Подготовка спортивного резерва, развитие спорта высших достижений"</t>
  </si>
  <si>
    <t>Мероприятие "Оказание муниципальных услуг, выполнение работ муниципальными учреждениями в сфере спорта высших достижений"</t>
  </si>
  <si>
    <t xml:space="preserve">Приложение 1  </t>
  </si>
  <si>
    <t>Источники  финансирования  дефицита  бюджета</t>
  </si>
  <si>
    <t>Код БК РФ</t>
  </si>
  <si>
    <t>000 01 05 00 00 00 0000 000</t>
  </si>
  <si>
    <t>000 01 05 00 00 00 0000 500</t>
  </si>
  <si>
    <t>Увеличение остатков средств бюджетов</t>
  </si>
  <si>
    <t>000 01 05 02 00 00 0000 500</t>
  </si>
  <si>
    <t>000 01 05 02 01 04 0000 510</t>
  </si>
  <si>
    <t>000 01 05 00 00 00 0000 600</t>
  </si>
  <si>
    <t>Уменьшение остатков средств бюджетов</t>
  </si>
  <si>
    <t>000 01 05 02 00 00 0000 600</t>
  </si>
  <si>
    <t>000 01 05 02 01 04 0000 610</t>
  </si>
  <si>
    <t>администрация муниципального образования городской округ город Торжок Тверской области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</si>
  <si>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</si>
  <si>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Управление финансов администрации города Торжка</t>
  </si>
  <si>
    <t xml:space="preserve">Управление образования администрации города Торжка 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</si>
  <si>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</si>
  <si>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</si>
  <si>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Комитет по управлению имуществом муниципального образования городской округ город Торжок Тверской области</t>
  </si>
  <si>
    <t>Обеспечение охраны объектов (территорий)</t>
  </si>
  <si>
    <t>Резервный фонд администрации города Торжка</t>
  </si>
  <si>
    <t>000 01 05 02 01 00 0000 510</t>
  </si>
  <si>
    <t>Увеличение прочих остатков денежных средств бюджетов</t>
  </si>
  <si>
    <t>000 01 05 02 01 00 0000 610</t>
  </si>
  <si>
    <t>Уменьшение прочих остатков денежных средств бюджетов</t>
  </si>
  <si>
    <t>Организация обеспечения питанием учащихся муниципальных общеобразовательных учреждений с  ограниченными возможностями здоровья</t>
  </si>
  <si>
    <t xml:space="preserve">к решению Торжокской городской Думы </t>
  </si>
  <si>
    <t>Мероприятие "Благоустройство земельных участков с целью обеспечения безопасности зданий, сооружений, территорий муниципальных учреждений"</t>
  </si>
  <si>
    <t>Уборка территории города, ликвидация несанкционированных свалок</t>
  </si>
  <si>
    <t>Содержание мест (площадок) накопления ТКО</t>
  </si>
  <si>
    <t>Подпрограмма "Санитарно-эпидемиологическое благополучие населения"</t>
  </si>
  <si>
    <t>Мероприятие "Обеспечение пожарной безопасности зданий, сооружений, территорий муниципальных учреждений"</t>
  </si>
  <si>
    <t xml:space="preserve">Обеспечение пожарной безопасности </t>
  </si>
  <si>
    <t>Подпрограмма "Развитие коммунально-инженерной инфраструктуры"</t>
  </si>
  <si>
    <t>330</t>
  </si>
  <si>
    <t>Публичные нормативные выплаты гражданам несоциального характера</t>
  </si>
  <si>
    <t>Мероприятие "Обеспечение охраны объектов (территорий) муниципальных учреждений"</t>
  </si>
  <si>
    <t>Мероприятие "Осуществление мероприятий по улучшению условий и охране труда"</t>
  </si>
  <si>
    <t>Обеспечение  улучшения условий и охраны труда</t>
  </si>
  <si>
    <t>Обустройство новых мест захоронений</t>
  </si>
  <si>
    <t>Обеспечение функционирования модели персонифицированного финансирования дополнительного образования детей</t>
  </si>
  <si>
    <t>Мероприятие "Установка (расширение) единых функциональных систем: охранной, пожарной сигнализации, системы видеонаблюдения, контроля доступа и иных аналогичных систем, включая работы по модернизации указанных систем"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</si>
  <si>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</si>
  <si>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Мероприятие "Содействие развитию малого и среднего предпринимательства"</t>
  </si>
  <si>
    <t>Организация и проведение конкурса "Лучшее новогоднее оформление объектов потребительского рынка"</t>
  </si>
  <si>
    <t>2026 год</t>
  </si>
  <si>
    <t>Контрольно-ревизионная комиссия города Торжка</t>
  </si>
  <si>
    <t>Обеспечение деятельности контрольно-счетного органа муниципального образования</t>
  </si>
  <si>
    <t>Мероприятие "Оснащение муниципальных образовательных организаций, реализующих программы дошкольного образования, уличными игровыми комплексами"</t>
  </si>
  <si>
    <t>Приобретение муниципальными учреждениями оборудования и других основных средств</t>
  </si>
  <si>
    <t>Мероприятие  "Обеспечение пожарной безопасности территории города"</t>
  </si>
  <si>
    <t>Обеспечение пожарной безопасности</t>
  </si>
  <si>
    <t>Благоустройство земельных участков</t>
  </si>
  <si>
    <t>Мероприятие "Развитие сетей уличного освещения"</t>
  </si>
  <si>
    <t>Проектирование, строительство и реконструкция  объектов</t>
  </si>
  <si>
    <t xml:space="preserve">Государственная поддержка отрасли культуры (модернизация библиотек в части комплектования книжных фондов библиотек муниципальных образований) </t>
  </si>
  <si>
    <t>007</t>
  </si>
  <si>
    <t>Организация обеспечения питанием учащихся муниципальных общеобразовательных учреждений, являющихся членами семей участников специальной военной операции</t>
  </si>
  <si>
    <t>2027 год</t>
  </si>
  <si>
    <t>Обеспечение проведения выборов и референдумов</t>
  </si>
  <si>
    <t>0107</t>
  </si>
  <si>
    <t>Проведение выборов в представительные органы муниципального образования</t>
  </si>
  <si>
    <t>Специальные расходы</t>
  </si>
  <si>
    <t>0505</t>
  </si>
  <si>
    <t>Другие вопросы в области жилищно-коммунального хозяйства</t>
  </si>
  <si>
    <t xml:space="preserve">Реализация мероприятий по модернизации школьных систем образования </t>
  </si>
  <si>
    <t>Мероприятие "Реализация регионального проекта "Все лучшее детям"  в рамках национального проекта "Молодежь и дети"</t>
  </si>
  <si>
    <t>Мероприятие "Реализация регионального проекта "Педагоги и наставники" в рамках национального проекта "Молодежь и дети"</t>
  </si>
  <si>
    <t>Мероприятие "Реализация регионального проекта "Формирование комфортной городской среды" в рамках национального проекта "Инфраструктура для жизни"</t>
  </si>
  <si>
    <t>Реализация программы формирования современной городской среды</t>
  </si>
  <si>
    <t>Подготовка основания для размещения спортивно-технологического оборудования спортивной площадки</t>
  </si>
  <si>
    <t>Обеспечение деятельности центрального аппарата  контрольно-счетного органа муниципального образования</t>
  </si>
  <si>
    <t>Проведение мероприятий в целях обеспечения безопасности дорожного движения на автомобильных дорогах общего пользования местного значения</t>
  </si>
  <si>
    <t xml:space="preserve">Оснащение муниципальных дошкольных образовательных организаций уличными игровыми комплексами </t>
  </si>
  <si>
    <t xml:space="preserve">Ремонт дворовых территорий многоквартирных домов, проездов к дворовым территориям многоквартирных домов </t>
  </si>
  <si>
    <t xml:space="preserve">Капитальный ремонт и ремонт улично-дорожной сети города Торжка </t>
  </si>
  <si>
    <t>Мероприятие "Реализация проектов по благоустройству общественных территорий"</t>
  </si>
  <si>
    <t>Реализация программы формирования современной городской среды за счет средств местного бюджета</t>
  </si>
  <si>
    <t>Мероприятие "Реализация проектов по  обеспечению безопасности дорожного движения на автомобильных дорогах общего пользования местного значения"</t>
  </si>
  <si>
    <t>Резерв на погашение кредиторской задолженности унитарного предприятия в связи с передачей имущества в государственную собственность Тверской области</t>
  </si>
  <si>
    <t>Мероприятие "Оказание муниципальных услуг, выполнение работ муниципальными организациями в сфере жилищно-коммунального хозяйства"</t>
  </si>
  <si>
    <t>Мероприятие "Устройство физкультурно-спортивных объектов"</t>
  </si>
  <si>
    <t>000 01 00 00 00 00 0000 000</t>
  </si>
  <si>
    <t>ИСТОЧНИКИ ВНУТРЕННЕГО ФИНАНСИРОВАНИЯ ДЕФИЦИТОВ БЮДЖЕТОВ</t>
  </si>
  <si>
    <t>Мероприятие "Обустройство мест массового отдыха"</t>
  </si>
  <si>
    <t>Мероприятие  "Реализация проектов в рамках программы поддержки местных инициатив в Тверской области"</t>
  </si>
  <si>
    <t>Проведение капитального ремонта и ремонта муниципальными учреждениями</t>
  </si>
  <si>
    <t>Обеспечение деятельности муниципального казенного учреждения</t>
  </si>
  <si>
    <t xml:space="preserve">Организация участия детей и подростков в социально значимых региональных проектах </t>
  </si>
  <si>
    <t>Реализация проекта "Благоустройство пешеходной зоны по Калининскому шоссе (от д. 14 до д. 16 Д) в г. Торжок Тверской области"  в рамках программы поддержки местных инициатив в Тверской области на условиях софинансирования</t>
  </si>
  <si>
    <t>муниципального образования город Торжок на 2026 год и на плановый период 2027 и 2028 годов</t>
  </si>
  <si>
    <t>2028 год</t>
  </si>
  <si>
    <t>Распределение бюджетных ассигнований  бюджета 		
муниципального образования город Торжок  по разделам и подразделам классификации		
расходов бюджетов на 2026 год и на плановый период 2027 и 2028 годов</t>
  </si>
  <si>
    <t>Ведомственная структура расходов бюджета муниципального образования  город Торжок  
на 2026 год и на плановый период 2027 и 2028 годов</t>
  </si>
  <si>
    <t>Распределение бюджетных ассигнований бюджета муниципального образования город Торжок 
по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</si>
  <si>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Муниципальная программа муниципального образования город Торжок "Развитие образования  города Торжка" на 2026  - 2031 годы</t>
  </si>
  <si>
    <t>Муниципальная программа муниципального образования город Торжок "Развитие социальной  инфраструктуры города Торжка" на 2026  - 2031 годы</t>
  </si>
  <si>
    <t>Муниципальная программа муниципального образования город Торжок "Безопасный город" на 2026  - 2031 годы</t>
  </si>
  <si>
    <t>Муниципальная программа муниципального образования город Торжок "Содействие экономическому развитию города Торжка" на 2026  - 2031 годы</t>
  </si>
  <si>
    <t>Муниципальная программа муниципального образования город Торжок "Развитие транспортной и коммунальной инфраструктуры" на 2026  - 2031 годы</t>
  </si>
  <si>
    <t>341019Д006</t>
  </si>
  <si>
    <t>341029Д003</t>
  </si>
  <si>
    <t>34102АД014</t>
  </si>
  <si>
    <t>34102SД014</t>
  </si>
  <si>
    <t>34103АД201</t>
  </si>
  <si>
    <t>34103SД201</t>
  </si>
  <si>
    <t>342019Д007</t>
  </si>
  <si>
    <t>Подпрограмма "Формирование благоприятных условий для развития города"</t>
  </si>
  <si>
    <t>Муниципальная программа муниципального образования город Торжок "Формирование современной  городской среды" на 2026  - 2031 годы</t>
  </si>
  <si>
    <t>311Ю400000</t>
  </si>
  <si>
    <t>311Ю457500</t>
  </si>
  <si>
    <t>311Ю4S7500</t>
  </si>
  <si>
    <t>31201S0690</t>
  </si>
  <si>
    <t xml:space="preserve">3250600000  </t>
  </si>
  <si>
    <t xml:space="preserve">3250620420  </t>
  </si>
  <si>
    <t>32101S0680</t>
  </si>
  <si>
    <t>32102L5199</t>
  </si>
  <si>
    <t xml:space="preserve">32201S0680   </t>
  </si>
  <si>
    <t>Подпрограмма  "Создание условий для улучшения демографической ситуации и укрепления семьи"</t>
  </si>
  <si>
    <t>Мероприятие "Обеспечение жильем молодых семей"</t>
  </si>
  <si>
    <t xml:space="preserve">32601L4970  </t>
  </si>
  <si>
    <t>32401S0690</t>
  </si>
  <si>
    <t xml:space="preserve">32503S0320  </t>
  </si>
  <si>
    <t>3110110740</t>
  </si>
  <si>
    <t>3110120010</t>
  </si>
  <si>
    <t xml:space="preserve">31103L3041  </t>
  </si>
  <si>
    <t>311Ю600000</t>
  </si>
  <si>
    <t>311Ю651790</t>
  </si>
  <si>
    <t xml:space="preserve">31301S1080  </t>
  </si>
  <si>
    <t xml:space="preserve">31106S0240  </t>
  </si>
  <si>
    <t>Муниципальная программа муниципального образования город Торжок "Формирование современной  городской среды" 
на 2026  - 2031 годы</t>
  </si>
  <si>
    <t>33102S1450</t>
  </si>
  <si>
    <t>331И400000</t>
  </si>
  <si>
    <t>331И455550</t>
  </si>
  <si>
    <t>331И4А5550</t>
  </si>
  <si>
    <t xml:space="preserve">Организация отдыха детей в каникулярное время </t>
  </si>
  <si>
    <t xml:space="preserve">Расходы на повышение заработной платы педагогическим работникам муниципальных организаций дополнительного образования </t>
  </si>
  <si>
    <t>Оказание муниципальными учреждениями муниципальных услуг, выполнение работ (спортивная подготовка)</t>
  </si>
  <si>
    <t>3110520020</t>
  </si>
  <si>
    <t>31108S1350</t>
  </si>
  <si>
    <t>31108А1350</t>
  </si>
  <si>
    <t>Мероприятие "Организация питания учащихся  общеобразовательных учреждений"</t>
  </si>
  <si>
    <t xml:space="preserve">31105S0440  </t>
  </si>
  <si>
    <t xml:space="preserve">Поддержка средств массовой информации  города учредителем (соучредителем) которого является администрация города Торжка </t>
  </si>
  <si>
    <t>Расходы на повышение заработной платы педагогическим работникам муниципальных организаций дополнительного образования</t>
  </si>
  <si>
    <t>Физическая культура</t>
  </si>
  <si>
    <t>Расходы на повышение заработной платы работникам муниципальных учреждений культуры  Тверской области</t>
  </si>
  <si>
    <t xml:space="preserve">Укрепление материально-технической базы муниципальных общеобразовательных учреждений </t>
  </si>
  <si>
    <t xml:space="preserve">Проведение капитального ремонта и приобретение оборудования в целях обеспечения односменного режима обучения в общеобразовательных организациях </t>
  </si>
  <si>
    <t>31105S0390</t>
  </si>
  <si>
    <t xml:space="preserve">31105S1040  </t>
  </si>
  <si>
    <t>35202S1040</t>
  </si>
  <si>
    <t>35201S1040</t>
  </si>
  <si>
    <t>Капитальный ремонт и ремонт улично-дорожной сети города Торжка за счет средств местного бюджета</t>
  </si>
  <si>
    <t>Ремонт дворовых территорий многоквартирных домов, проездов к дворовым территориям многоквартирных домов за счет средств местного бюджета</t>
  </si>
  <si>
    <t>Проведение мероприятий в целях обеспечения безопасности дорожного движения на автомобильных дорогах общего пользования местного значения за счет средств местного бюджета</t>
  </si>
  <si>
    <t>342039Д004</t>
  </si>
  <si>
    <t>34203SД017</t>
  </si>
  <si>
    <t>34203АД017</t>
  </si>
  <si>
    <t xml:space="preserve">Обустройство мест массового отдыха населения (городских парков) </t>
  </si>
  <si>
    <t>Мероприятие "Приобретение основных средств, не относящихся к объектам недвижимости муниципальными учреждениями в сфере жилищно-коммунального хозяйства"</t>
  </si>
  <si>
    <t xml:space="preserve">Укрепление материально-технической базы муниципальных дошкольных образовательных организаций </t>
  </si>
  <si>
    <t xml:space="preserve">3250620430  </t>
  </si>
  <si>
    <t>Мероприятие "Региональный проект "Семейные ценности и инфраструктура культуры", входящий в состав национального проекта "Семья"</t>
  </si>
  <si>
    <t>322Я500000</t>
  </si>
  <si>
    <t>Модернизация региональных и (или) муниципальных учреждений культуры (учреждения культурно-досугового типа)</t>
  </si>
  <si>
    <t>Разработка (актуализация) документов  развития коммунально-инженерной инфраструктуры</t>
  </si>
  <si>
    <t>Изменение остатков средств на счетах по учету средств бюджетов</t>
  </si>
  <si>
    <t>Увеличение прочих остатков средств бюджетов</t>
  </si>
  <si>
    <t>Увеличение прочих остатков денежных средств бюджетов городских округов</t>
  </si>
  <si>
    <t>Уменьшение прочих остатков средств бюджетов</t>
  </si>
  <si>
    <t>Уменьшение прочих остатков денежных средств бюджетов городских округов</t>
  </si>
  <si>
    <t>Мероприятие "Разработка (актуализация) документов   коммунально-инженерной инфраструктуры"</t>
  </si>
  <si>
    <t>Оснащение муниципальных дошкольных образовательных организаций уличными игровыми комплексами за счет средств местного бюджета</t>
  </si>
  <si>
    <t xml:space="preserve">Приложение 3
к решению Торжокской городской Думы
от 23.12.2025 № 29    </t>
  </si>
  <si>
    <t xml:space="preserve">  от 23.12.2025 № 29 </t>
  </si>
  <si>
    <t xml:space="preserve">Приложение 4 
к решению Торжокской городской Думы
от 23.12.2025 № 29   </t>
  </si>
  <si>
    <t xml:space="preserve">Приложение  5
к решению Торжокской городской Думы
от 23.12.2025 № 29 </t>
  </si>
  <si>
    <t xml:space="preserve">Приложение 6
к решению Торжокской городской Думы
от 23.12.2025 № 29   </t>
  </si>
  <si>
    <t>Ремонт дворовых территорий многоквартирных домов, проездов к дворовым территориям многоквартирных домов</t>
  </si>
  <si>
    <t>Погашение кредиторской задолженности муниципального  унитарного предприятия, учредителем которого является муниципальное образование городской округ город Торжок Тверской области</t>
  </si>
  <si>
    <t>Мероприятие "Приобретение основных средств, не относящихся к объектам недвижимости, органами местного самоуправления"</t>
  </si>
  <si>
    <t>Приобретение органами местного самоуправления оборудования и других основных средств</t>
  </si>
  <si>
    <t xml:space="preserve">Реализация проекта "Благоустройство пешеходной зоны по Калининскому шоссе (от д. 14 до д. 16 Д) в г. Торжок Тверской области"  в рамках программы поддержки местных инициатив в Тверской области за счет субсидии из областного бюджета </t>
  </si>
  <si>
    <t>Ежемесячное денежное вознаграждение советникам директоров по воспитанию и взаимодействию с детскими общественными объединениями (муниципальных общеобразовательных организаций)</t>
  </si>
  <si>
    <t>311Ю650501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</si>
  <si>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</si>
  <si>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311Ю653031</t>
  </si>
  <si>
    <t xml:space="preserve"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областного бюджета </t>
  </si>
  <si>
    <t>36102Д0820</t>
  </si>
  <si>
    <t>322Я555131</t>
  </si>
  <si>
    <t>Реализация мероприятий по модернизации школьных систем образования за счет средств областного и местного бюджетов</t>
  </si>
  <si>
    <t>31105L1120</t>
  </si>
  <si>
    <t>Реализация мероприятий по капитальному ремонту объектов муниципальной собственности</t>
  </si>
  <si>
    <t>31110S1120</t>
  </si>
  <si>
    <t>Реализация мероприятий по капитальному ремонту объектов муниципальной собственности  за счет средств областного и местного бюджетов</t>
  </si>
  <si>
    <t>Мероприятие "Приобретение основных средств, не относящихся к объектам недвижимости муниципальными образовательными организациями, реализующими основные образовательные программы"</t>
  </si>
  <si>
    <t>Реализация мероприятий по обращениям, поступающим к депутатам Торжокской городской Думы и Законодательного Собрания Тверской области</t>
  </si>
  <si>
    <t>99200S0920</t>
  </si>
  <si>
    <t>Средства на реализацию мероприятий по обращениям, поступающим к депутатам Законодательного Собрания Тверской области</t>
  </si>
  <si>
    <t>Мероприятие  "Приобретение основных средств, не относящихся к объектам недвижимости, муниципальными учреждениями  в сфере спорта высших достижений"</t>
  </si>
  <si>
    <t xml:space="preserve">32402S0480  </t>
  </si>
  <si>
    <t xml:space="preserve">Обеспечение уровня финансирования физкультурно-спортивных организаций и учреждений дополнительного образования, осуществляющих спортивную подготовку, в соответствии с требованиями федеральных стандартов спортивной подготовки </t>
  </si>
  <si>
    <t>31105А1120</t>
  </si>
  <si>
    <t>Реализация мероприятий по капитальному ремонту объектов муниципальной собственности за счет средств местного бюджета</t>
  </si>
  <si>
    <t>Расходы на исполнение судебных актов по обращению взыскания на средства местного бюджета</t>
  </si>
  <si>
    <t>341039Д003</t>
  </si>
  <si>
    <t>Мероприятие  "Проведение капитального ремонта и ремонта объектов недвижимого имущества и (или) особо ценного движимого имущества муниципальными учреждениями культурно-досугового типа"</t>
  </si>
  <si>
    <t>Мероприятие "Приобретение основных средств, не относящихся к объектам недвижимости муниципальными организациями, реализующими программы дополнительного образования"</t>
  </si>
  <si>
    <t xml:space="preserve">Укрепление материально-технической базы муниципальных учреждений культуры </t>
  </si>
  <si>
    <t>31202S1540</t>
  </si>
  <si>
    <t>Содержание объектов и элементов благоустройства</t>
  </si>
  <si>
    <t>830</t>
  </si>
  <si>
    <t>Исполнение судебных актов</t>
  </si>
  <si>
    <t xml:space="preserve">Приложение 8
к решению Торжокской городской Думы
от 23.12.2025 № 29 </t>
  </si>
  <si>
    <t xml:space="preserve">Адресная инвестиционная программа </t>
  </si>
  <si>
    <t>№ п/п</t>
  </si>
  <si>
    <t xml:space="preserve">Наименование </t>
  </si>
  <si>
    <t xml:space="preserve">Бюджетополучатель    </t>
  </si>
  <si>
    <t>Лимит местного бюджета (тыс. руб.)</t>
  </si>
  <si>
    <t xml:space="preserve">Раздел и подраздел бюджетной классификации расходов </t>
  </si>
  <si>
    <t xml:space="preserve">средства местного бюджета </t>
  </si>
  <si>
    <t xml:space="preserve">средства вышестоящих бюджетов </t>
  </si>
  <si>
    <t>всего</t>
  </si>
  <si>
    <t>х</t>
  </si>
  <si>
    <t>1.1.1.</t>
  </si>
  <si>
    <t xml:space="preserve">Выполнение работ по устройству линий уличного освещения  г.Торжке:                                                                                                                                            - ул. Калининское шоссе от дома № 51 в сторону выезда из города; 
-  Калининское шоссе (от дома № 18А до дома №28Б);                                                                                                -  Калининское шоссе (от дома № 14 Б по Калининскому шоссе до дома № 1 по ул. 1-ая Авиационная);                                                                       -  Ленинградское шоссе (у дома № 33 со стороны подросткового клуба "Хрущовка 2:0");                                       - ул. Пролетарская, у дома № 36;                                                     - ул.Студенческая, у дома №13                                                                                    </t>
  </si>
  <si>
    <t xml:space="preserve">2. </t>
  </si>
  <si>
    <t>2.1.</t>
  </si>
  <si>
    <t>2.1.1.</t>
  </si>
  <si>
    <t xml:space="preserve">Приобретение в муниципальную собственность жилых помещений </t>
  </si>
  <si>
    <t>2.1.1.1.</t>
  </si>
  <si>
    <t>Приобретение в муниципальную собственность жилых помещений детям-сиротам, детям, оставшимся без попечения родителей, лицам из их числа по договорам найма специализированных жилых помещений</t>
  </si>
  <si>
    <t xml:space="preserve">3111100000  </t>
  </si>
  <si>
    <t>Мероприятие "Реализация образовательных проектов в рамках поддержки школьных инициатив Тверской области"</t>
  </si>
  <si>
    <t>31111S8050</t>
  </si>
  <si>
    <t xml:space="preserve">Реализация проекта «Поле возможностей», МБОУ Гимназия № 2 города Торжка </t>
  </si>
  <si>
    <t>33202S1550</t>
  </si>
  <si>
    <t>Проведение работ по обустройству воинских захоронений</t>
  </si>
  <si>
    <t>3111120040</t>
  </si>
  <si>
    <t>Устройство основания спортивной площадки</t>
  </si>
  <si>
    <t>Мероприятие  "Приобретение основных средств, не относящихся к объектам недвижимости муниципальными организациями, реализующими программы дополнительного образования"</t>
  </si>
  <si>
    <t>Мероприятие  "Приобретение основных средств, не относящихся к объектам недвижимости муниципальными образовательными организациями, реализующими основные образовательные программы"</t>
  </si>
  <si>
    <t>Мероприятие "Формирование безбарьерной среды для лиц с ограниченными возможностями здоровья"</t>
  </si>
  <si>
    <t>008</t>
  </si>
  <si>
    <t>Дума Торжокского муниципального округа Тверской области</t>
  </si>
  <si>
    <t>Обеспечение деятельности центрального аппарата Думы Торжокского муниципального округа</t>
  </si>
  <si>
    <t>Мероприятие  "Проектирование и строительство объектов инженерной инфраструктуры"</t>
  </si>
  <si>
    <t>Проектирование и строительство объектов</t>
  </si>
  <si>
    <t>Мероприятие "Проведение капитального ремонта и ремонта объектов недвижимого имущества и (или) особо ценного движимого имущества муниципальными учреждениями в сфере жилищно-коммунального хозяйства"</t>
  </si>
  <si>
    <t xml:space="preserve">1.2. </t>
  </si>
  <si>
    <t>1.2.1.</t>
  </si>
  <si>
    <t>1.1</t>
  </si>
  <si>
    <t>Приложение 2</t>
  </si>
  <si>
    <t>к   решению Торжокской городской Думы</t>
  </si>
  <si>
    <t xml:space="preserve">от 23.12.2025 № 29   </t>
  </si>
  <si>
    <t>Прогнозируемые доходы бюджета муниципального образования город Торжок по группам, подгруппам, 
статьям, подстатьям и элементам доходов классификации доходов 
бюджетов  Российской Федерации на 2026 год и на плановый период 2027 и 2028 годов</t>
  </si>
  <si>
    <t>Код классификации Российской Федерации</t>
  </si>
  <si>
    <t>Наименование дохода</t>
  </si>
  <si>
    <t xml:space="preserve">Сумма, тыс. руб.      </t>
  </si>
  <si>
    <t>000 1 00 00000 00 0000 000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</si>
  <si>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</si>
  <si>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</si>
  <si>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</si>
  <si>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</si>
  <si>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</si>
  <si>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</si>
  <si>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</si>
  <si>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</si>
  <si>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</si>
  <si>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000 1 01 02021 01 0000 110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</si>
  <si>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</si>
  <si>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000 1 01 02022 01 0000 110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</si>
  <si>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</si>
  <si>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</si>
  <si>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</si>
  <si>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000 1 01 02080 01 0000 110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</si>
  <si>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</si>
  <si>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</si>
  <si>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</si>
  <si>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000 1 01 02140 01 0000 110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</si>
  <si>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</si>
  <si>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000 1 01 02150 01 0000 110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</si>
  <si>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</si>
  <si>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000 1 01 02180 01 0000 110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</si>
  <si>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налоговым резидентом Российской Федерации в виде дивидендов (в части суммы налога, превышающей 312 тысяч рублей)</t>
  </si>
  <si>
    <t>000 1 01 02210 01 0000 110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</si>
  <si>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</si>
  <si>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</si>
  <si>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</si>
  <si>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</si>
  <si>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</si>
  <si>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</si>
  <si>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</si>
  <si>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</si>
  <si>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</si>
  <si>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</si>
  <si>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</si>
  <si>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</si>
  <si>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</si>
  <si>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</si>
  <si>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</si>
  <si>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</si>
  <si>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</si>
  <si>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</si>
  <si>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</si>
  <si>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</si>
  <si>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</si>
  <si>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</si>
  <si>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</si>
  <si>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</si>
  <si>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</si>
  <si>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000 1 05 01010 01 0000 110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</si>
  <si>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</si>
  <si>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</si>
  <si>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</si>
  <si>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</si>
  <si>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</si>
  <si>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</si>
  <si>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000 1 05 04000 02 0000 110</t>
  </si>
  <si>
    <t>Налог, взимаемый в связи с применением патентной системы налогообложения</t>
  </si>
  <si>
    <t>000 1 05 04010 02 0000 110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</si>
  <si>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</si>
  <si>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</si>
  <si>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</si>
  <si>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</si>
  <si>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</si>
  <si>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000 1 06 01020 04 0000 110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</si>
  <si>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</si>
  <si>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000 1 06 06000 00 0000 110</t>
  </si>
  <si>
    <t>Земельный налог</t>
  </si>
  <si>
    <t>000 1 06 06030 00 0000 110</t>
  </si>
  <si>
    <t>Земельный налог с организаций</t>
  </si>
  <si>
    <t>000 1 06 06032 04 0000 110</t>
  </si>
  <si>
    <t>Земельный налог с организаций, обладающих земельным участком, расположенным в границах городских округов</t>
  </si>
  <si>
    <t>000 1 06 06040 00 0000 110</t>
  </si>
  <si>
    <t>Земельный налог с физических лиц</t>
  </si>
  <si>
    <t>000 1 06 06042 04 0000 110</t>
  </si>
  <si>
    <t>Земельный налог с физических лиц, обладающих земельным участком, расположенным в границах городских округов</t>
  </si>
  <si>
    <t>000 1 08 00000 00 0000 000</t>
  </si>
  <si>
    <t>ГОСУДАРСТВЕННАЯ ПОШЛИНА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</si>
  <si>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</si>
  <si>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</si>
  <si>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</si>
  <si>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</si>
  <si>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</si>
  <si>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</si>
  <si>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</si>
  <si>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</si>
  <si>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</si>
  <si>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</si>
  <si>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</si>
  <si>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</si>
  <si>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</si>
  <si>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</si>
  <si>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000 1 11 05024 04 0000 120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</si>
  <si>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</si>
  <si>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000 1 11 05070 00 0000 120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</si>
  <si>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</si>
  <si>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000 1 11 05074 04 0000 120</t>
  </si>
  <si>
    <t>Доходы от сдачи в аренду имущества, составляющего казну городских округов (за исключением земельных участков)</t>
  </si>
  <si>
    <t>000 1 11 09000 00 0000 120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</si>
  <si>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</si>
  <si>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</si>
  <si>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</si>
  <si>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</si>
  <si>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</si>
  <si>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</si>
  <si>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</si>
  <si>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</si>
  <si>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</si>
  <si>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000 1 14 00000 00 0000 000</t>
  </si>
  <si>
    <t>ДОХОДЫ ОТ ПРОДАЖИ МАТЕРИАЛЬНЫХ И НЕМАТЕРИАЛЬНЫХ АКТИВОВ</t>
  </si>
  <si>
    <t>000 1 14 06000 00 0000 430</t>
  </si>
  <si>
    <t xml:space="preserve">Доходы от продажи земельных участков, находящихся в государственной и муниципальной собственности </t>
  </si>
  <si>
    <t>000 1 14 06010 00 0000 430</t>
  </si>
  <si>
    <t>Доходы от продажи земельных участков, государственная собственность на которые не разграничена</t>
  </si>
  <si>
    <t>000 1 14  06012 04 0000 430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</si>
  <si>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</si>
  <si>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</si>
  <si>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</si>
  <si>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</si>
  <si>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</si>
  <si>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</si>
  <si>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</si>
  <si>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000 1 14 13000 00 0000 000</t>
  </si>
  <si>
    <t>Доходы от приватизации имущества, находящегося в государственной и муниципальной собственности</t>
  </si>
  <si>
    <t>000 1 14 13040 04 0000 410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</si>
  <si>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</si>
  <si>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000 1 16 00000 00 0000 000</t>
  </si>
  <si>
    <t>ШТРАФЫ, САНКЦИИ, ВОЗМЕЩЕНИЕ УЩЕРБА</t>
  </si>
  <si>
    <t>000 1 16 01000 01 0000 140</t>
  </si>
  <si>
    <t>Административные штрафы, установленные Кодексом Российской Федерации об административных правонарушениях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</si>
  <si>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</si>
  <si>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</si>
  <si>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</si>
  <si>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</si>
  <si>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</si>
  <si>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</si>
  <si>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</si>
  <si>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</si>
  <si>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</si>
  <si>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</si>
  <si>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</si>
  <si>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</si>
  <si>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</si>
  <si>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</si>
  <si>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</si>
  <si>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</si>
  <si>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</si>
  <si>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</si>
  <si>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000 1 16 01093 01 0000 140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</si>
  <si>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</si>
  <si>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</si>
  <si>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</si>
  <si>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</si>
  <si>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</si>
  <si>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</si>
  <si>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</si>
  <si>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</si>
  <si>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</si>
  <si>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</si>
  <si>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</si>
  <si>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</si>
  <si>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</si>
  <si>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</si>
  <si>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</si>
  <si>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</si>
  <si>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</si>
  <si>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000 1 16 01194 01 0000 140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</si>
  <si>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</si>
  <si>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</si>
  <si>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</si>
  <si>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</si>
  <si>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</si>
  <si>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</si>
  <si>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</si>
  <si>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</si>
  <si>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</si>
  <si>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000 1 16 11000 01 0000 140</t>
  </si>
  <si>
    <t>Платежи, уплачиваемые в целях возмещения вреда</t>
  </si>
  <si>
    <t>000 1 16 11060 01 0000 140</t>
  </si>
  <si>
    <t>Платежи, уплачиваемые в целях возмещения вреда, причиняемого автомобильным дорогам</t>
  </si>
  <si>
    <t>000 1 16 11064 01 0000 140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</si>
  <si>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</si>
  <si>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</si>
  <si>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</si>
  <si>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</si>
  <si>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</si>
  <si>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000 1 17 15020 04 0000 150</t>
  </si>
  <si>
    <t>Инициативные платежи, зачисляемые в бюджеты городских округов (Инициативные платежи на реализацию программ по поддержке местных инициатив в Тверской области на территории городских округов Тверской области (Реализация проекта «Благоустройство пешеходной зоны по Калининскому шоссе (от д. 14 до д. 16 Д) в г. Торжок Тверской области»)</t>
  </si>
  <si>
    <t>Инициативные платежи, зачисляемые в бюджеты городских округов (Инициативные платежи на реализацию программ по поддержке местных инициатив в Тверской области на территории городских округов Тверской области (Реализация проекта «Устройство детской площадки у дома № 44 по ул. Мира в г. Торжок Тверской области»)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</si>
  <si>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</si>
  <si>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</si>
  <si>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</si>
  <si>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</si>
  <si>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</si>
  <si>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</si>
  <si>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000 2 02 19999 00 0000 150</t>
  </si>
  <si>
    <t>Прочие дотации</t>
  </si>
  <si>
    <t>000 2 02 19999 04 0000 150</t>
  </si>
  <si>
    <t>Прочие дотации бюджетам городских округов (Прочие дотации на стимулирование муниципальных образований к повышению эффективности бюджетных расходов)</t>
  </si>
  <si>
    <t>000 2 02 20000 00 0000 150</t>
  </si>
  <si>
    <t>Субсидии бюджетам бюджетной системы Российской Федерации (межбюджетные субсидии)</t>
  </si>
  <si>
    <t>000 2 02 20216 00 0000 150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</si>
  <si>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</si>
  <si>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</si>
  <si>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(Субсидии на капитальный ремонт и ремонт улично-дорожной сети муниципальных образований Тверской области)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</si>
  <si>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(Субсидии на ремонт дворовых территорий многоквартирных домов, проездов к дворовым территориям многоквартирных домов населенных пунктов)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</si>
  <si>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(Субсидии бюджетам на проведение мероприятий в целях обеспечения безопасности дорожного движения на автомобильных дорогах общего пользования местного значения)</t>
  </si>
  <si>
    <t>000 2 02 25112 00 0000 150</t>
  </si>
  <si>
    <t>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</si>
  <si>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>Субсидии бюджетам городских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</si>
  <si>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>000 2 02 25304 00 0000 150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</si>
  <si>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</si>
  <si>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</si>
  <si>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</si>
  <si>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000 2 02 25497 00 0000 150</t>
  </si>
  <si>
    <t>Субсидии бюджетам на реализацию мероприятий по обеспечению жильем молодых семей</t>
  </si>
  <si>
    <t>000 2 02 25497 04 0000 150</t>
  </si>
  <si>
    <t>Субсидии бюджетам городских округов на реализацию мероприятий по обеспечению жильем молодых семей</t>
  </si>
  <si>
    <t>000 2 02 25513 00 0000 150</t>
  </si>
  <si>
    <t>Субсидии бюджетам на развитие сети учреждений культурно-досугового типа</t>
  </si>
  <si>
    <t>000 2 02 25513 04 0000 150</t>
  </si>
  <si>
    <t>Субсидии бюджетам городских округов на развитие сети учреждений культурно-досугового типа</t>
  </si>
  <si>
    <t>000 2 02 25519 00 0000 150</t>
  </si>
  <si>
    <t>Субсидии бюджетам на поддержку отрасли культуры</t>
  </si>
  <si>
    <t>000 2 02 25519 04 0000 150</t>
  </si>
  <si>
    <t>Субсидии бюджетам городских округов на поддержку отрасли культуры</t>
  </si>
  <si>
    <t>000 2 02 25555 00 0000 150</t>
  </si>
  <si>
    <t>Субсидии бюджетам на реализацию программ формирования современной городской среды</t>
  </si>
  <si>
    <t>000 2 02 25555 04 0000 150</t>
  </si>
  <si>
    <t>Субсидии бюджетам городских округов на реализацию программ формирования современной городской среды</t>
  </si>
  <si>
    <t>000 2 02 25750 00 0000 150</t>
  </si>
  <si>
    <t>Субсидии бюджетам на реализацию мероприятий по модернизации школьных систем образования</t>
  </si>
  <si>
    <t>000 2 02 25750 04 0000 150</t>
  </si>
  <si>
    <t>Субсидии бюджетам городских округов на реализацию мероприятий по модернизации школьных систем образования</t>
  </si>
  <si>
    <t>000 2 02 29999 00 0000 150</t>
  </si>
  <si>
    <t>Прочие субсидии</t>
  </si>
  <si>
    <t xml:space="preserve">000 2 02 29999 04 0000 150
</t>
  </si>
  <si>
    <t>Прочие субсидии бюджетам городских округов (Субсидии бюджетам на организацию  участия детей и подростков в социально значимых региональных проектах)</t>
  </si>
  <si>
    <t>Прочие субсидии бюджетам городских округов (Субсидии бюджетам на организацию отдыха детей в каникулярное время)</t>
  </si>
  <si>
    <t>Прочие субсидии бюджетам городских округов (Субсидии бюджетам на  повышение заработной платы работникам муниципальных учреждений культуры Тверской области)</t>
  </si>
  <si>
    <t>000 2 02 29999 04 0000 150</t>
  </si>
  <si>
    <t>Прочие субсидии бюджетам городских округов (Субсидии на поддержку редакций районных и городских газет)</t>
  </si>
  <si>
    <t>Прочие субсидии бюджетам городских округов (Субсидии бюджетам на  повышение заработной платы педагогическим работникам муниципальных организаций дополнительного образования)</t>
  </si>
  <si>
    <t>Прочие субсидии бюджетам городских округов (Субсидии на укрепление материально-технической базы муниципальных общеобразовательных организаций)</t>
  </si>
  <si>
    <t>Прочие субсидии бюджетам городских округов (Субсидии на поддержку обустройства мест массового отдыха населения (городских парков))</t>
  </si>
  <si>
    <t>Прочие субсидии бюджетам городских округов (Субсидии бюджетам на укрепление материально-технической базы муниципальных дошкольных образовательных организаций)</t>
  </si>
  <si>
    <t>Прочие субсидии бюджетам городских округов (Субсидии на оснащение муниципальных образовательных организаций, реализующих программы дошкольного образования, уличными игровыми комплексами)</t>
  </si>
  <si>
    <t>Прочие субсидии бюджетам городских округов (Субсидии на реализацию мероприятий по модернизации школьных систем образования за счет средств областного бюджета)</t>
  </si>
  <si>
    <t>Прочие субсидии бюджетам городских округов (Субсидии на проведение капитального ремонта и приобретение оборудования в целях обеспечения односменного режима обучения в общеобразовательных учреждениях)</t>
  </si>
  <si>
    <t>Прочие субсидии бюджетам городских округов (Субсидии на реализацию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наследия)</t>
  </si>
  <si>
    <t>Прочие субсидии бюджетам городских округов (Субсидии на реализацию программ по поддержке местных инициатив в Тверской области на территории городских округов Тверской области (Реализация проекта «Благоустройство пешеходной зоны по Калининскому шоссе (от д. 14 до д. 16 Д) в г. Торжок Тверской области»))</t>
  </si>
  <si>
    <t>Прочие субсидии бюджетам городских округов (Субсидии на реализацию программ по поддержке местных инициатив в Тверской области на территории городских округов Тверской области (Реализация проекта «Устройство детской площадки у дома № 44 по ул. Мира в г. Торжок Тверской области»))</t>
  </si>
  <si>
    <t>Прочие субсидии бюджетам городских округов (Субсидии на укрепление материально-технической базы муниципальных спортивных школ)</t>
  </si>
  <si>
    <t>Прочие субсидии бюджетам городских округов (Субсидии на укрепление материально-технической базы муниципальных учреждений культуры Тверской области)</t>
  </si>
  <si>
    <t>000 2 02 30000 00 0000 150</t>
  </si>
  <si>
    <t>Субвенции бюджетам бюджетной системы Российской Федерации</t>
  </si>
  <si>
    <t>000 2 02 30029 00 0000 150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</si>
  <si>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</si>
  <si>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</si>
  <si>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</si>
  <si>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000 2 02 35120 00 0000 150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</si>
  <si>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</si>
  <si>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</si>
  <si>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</si>
  <si>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000 2 02 35179 00 0000 150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</si>
  <si>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</si>
  <si>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000 2 02 35179 04 0000 150</t>
  </si>
  <si>
    <t>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</si>
  <si>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000 2 02 35930 00 0000 150</t>
  </si>
  <si>
    <t>Субвенции бюджетам на государственную регистрацию актов гражданского состояния</t>
  </si>
  <si>
    <t>000 2 02 35930 04 0000 150</t>
  </si>
  <si>
    <t>Субвенции бюджетам городских округов на государственную регистрацию актов гражданского состояния</t>
  </si>
  <si>
    <t>000 2 02 39999 00 0000 150</t>
  </si>
  <si>
    <t>Прочие субвенции</t>
  </si>
  <si>
    <t>000 2 02 39999 04 0000 150</t>
  </si>
  <si>
    <t>Прочие субвенции бюджетам городских округов (Субвенции бюджетам на обеспечение государственных гарантий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</si>
  <si>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Прочие субвенции бюджетам городских округов (Субвенции бюджетам на обеспечение государственных гарантий прав на получение общедоступного и бесплатного дошкольного образования в муниципальных дошкольных образовательных организациях)</t>
  </si>
  <si>
    <t>Прочие субвенции бюджетам городских округов (Субвенции на осуществление  государственных полномочий по созданию, исполнению полномочий и обеспечению деятельности комиссий по делам несовершеннолетних)</t>
  </si>
  <si>
    <t>Прочие субвенции бюджетам городских округов (Субвенции на осуществление государственных полномочий Тверской области по созданию административных комиссий и определению перечня должностных лиц, уполномоченных составлять протоколы об административных правонарушениях)</t>
  </si>
  <si>
    <t>Прочие субвенции бюджетам городских округов (Субвенции на осуществление государственных полномочий по обеспечению благоустроенными жилыми помещениями специализированного жилищного фонда детей-сирот, детей, оставшихся без попечения родителей, лиц из их числа по договорам найма специализированных жилых помещений за счет средств областного бюджета Тверской области)</t>
  </si>
  <si>
    <t>000 2 02 40000 00 0000 150</t>
  </si>
  <si>
    <t>Иные межбюджетные трансферты</t>
  </si>
  <si>
    <t>000 2 02 45050 00 0000 150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</si>
  <si>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</si>
  <si>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000 2 02 45050 04 0000 150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</si>
  <si>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</si>
  <si>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000 2 02 45303 00 0000 150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</si>
  <si>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</si>
  <si>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</si>
  <si>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</si>
  <si>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000 2 02 49999 00 0000 150</t>
  </si>
  <si>
    <t>Прочие межбюджетные трансферты, передаваемые бюджетам</t>
  </si>
  <si>
    <t>000 2 02 49999 04 0000 150</t>
  </si>
  <si>
    <t>Прочие межбюджетные трансферты, передаваемые бюджетам городских округов (Прочие межбюджетные трансферты, передаваемые бюджетам на реализацию мероприятий по обращениям, поступающим к депутатам Законодательного Собрания Тверской области)</t>
  </si>
  <si>
    <t>Прочие межбюджетные трансферты, передаваемые бюджетам городских округов (Прочие межбюджетные трансферты на проведение работ по обустройству воинских захоронений)</t>
  </si>
  <si>
    <t>Прочие межбюджетные трансферты бюджетам городских округов (Прочие межбюджетные трансферты на реализацию образовательных проектов в рамках поддержки школьных инициатив Тверской области (Реализация проекта «Поле возможностей» МБОУ Гимназия № 2 города Торжка))</t>
  </si>
  <si>
    <t>ИТОГО ДОХОДОВ</t>
  </si>
  <si>
    <t>Выполнение работ по прокладке водопроводной линии от д.4 до д.11 по Республиканскому пер., в г.Торжке</t>
  </si>
  <si>
    <t>009</t>
  </si>
  <si>
    <t>Контрольно-ревизионная комиссия Торжокского муниципального округа Тверской области</t>
  </si>
  <si>
    <t>Председатель контрольно-счетного органа муниципального округа</t>
  </si>
  <si>
    <t>Обеспечение деятельности центрального аппарата  контрольно-счетного органа муниципального округа</t>
  </si>
  <si>
    <t xml:space="preserve">Реализация проекта "Устройство детской площадки у дома № 44 по ул. Мира в г. Торжок Тверской области"  в рамках программы поддержки местных инициатив в Тверской области за счет субсидии из областного бюджета </t>
  </si>
  <si>
    <t>Реализация проекта "Устройство детской площадки у дома № 44 по ул. Мира в г. Торжок Тверской области"  в рамках программы поддержки местных инициатив в Тверской области на условиях софинансирования</t>
  </si>
  <si>
    <t>31201S1390</t>
  </si>
  <si>
    <t xml:space="preserve">Единовременная выплата к началу учебного года работникам муниципальных образовательных организаций </t>
  </si>
  <si>
    <t>32401S1390</t>
  </si>
  <si>
    <t>31101S1390</t>
  </si>
  <si>
    <t>Расходы на поощрение за достижение показателей деятельности органов исполнительной власти Тверской области (на поощрение муниципальных управленческих команд)</t>
  </si>
  <si>
    <t>Установка (расширение) единых функциональных систем в муниципальных учреждениях</t>
  </si>
  <si>
    <t>Реализация проекта "Устройство детской площадки у дома № 5 по ул. Металлистов в г. Торжок Тверской области"  в рамках программы поддержки местных инициатив в Тверской области на условиях софинансирования</t>
  </si>
  <si>
    <t>Реализация проекта "Устройство детской площадки у дома № 36 по ул. Загородная в г. Торжок Тверской области"  в рамках программы поддержки местных инициатив в Тверской области на условиях софинансирования</t>
  </si>
  <si>
    <t>Реализация проекта "Устройство детской площадки у дома № 18 по ул. 1-ая Пугачева в г. Торжок Тверской области"  в рамках программы поддержки местных инициатив в Тверской области на условиях софинансирования</t>
  </si>
  <si>
    <t>Реализация проекта "Устройство детской площадки у дома № 30 по ул. Вокзальная в г. Торжок Тверской области"  в рамках программы поддержки местных инициатив в Тверской области на условиях софинансирования</t>
  </si>
  <si>
    <t>Распределение бюджетных ассигнований  по целевым статьям (муниципальным программам и непрограммным направлениям деятельности),  группам и подгруппам видов расходов классификации расходов бюджетов  на 2026 год и на плановый период 
2027 и 2028 годов</t>
  </si>
  <si>
    <t>000 2 02 16549 00 0000 150</t>
  </si>
  <si>
    <t>Дотации (гранты) бюджетам за достижение показателей деятельности органов местного самоуправления</t>
  </si>
  <si>
    <t>000 2 02 16549 04 0000 150</t>
  </si>
  <si>
    <t>Дотации (гранты) бюджетам городских округов за достижение показателей деятельности органов местного самоуправления</t>
  </si>
  <si>
    <t>Прочие субсидии бюджетам городских округов (Субсидии на осуществление единовременной выплаты к началу нового учебного года работникам муниципальных образовательных организаций)</t>
  </si>
  <si>
    <t>Строительство блочно-модульной котельной по адресу г. Торжок, Ленинградское шоссе, 12ж</t>
  </si>
  <si>
    <t>000 1 13 00000 00 0000 000</t>
  </si>
  <si>
    <t>ДОХОДЫ ОТ ОКАЗАНИЯ ПЛАТНЫХ УСЛУГ И КОМПЕНСАЦИИ ЗАТРАТ ГОСУДАРСТВА</t>
  </si>
  <si>
    <t>000 1 13 02000 00 0000 130</t>
  </si>
  <si>
    <t>Доходы от компенсации затрат государства</t>
  </si>
  <si>
    <t>000 1 13 02990 00 0000 130</t>
  </si>
  <si>
    <t>Прочие доходы от компенсации затрат государства</t>
  </si>
  <si>
    <t>000 1 13 02994 04 0000 130</t>
  </si>
  <si>
    <t>Прочие доходы от компенсации затрат бюджетов городских округов</t>
  </si>
  <si>
    <t>000 1 16 07000 00 0000 140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</si>
  <si>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</si>
  <si>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</si>
  <si>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</si>
  <si>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</si>
  <si>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</si>
  <si>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(в редакции решения Думы Торжокского муниципального округа Тверской области
от  22.10.2026 № 97)</t>
  </si>
  <si>
    <t>(в редакции решения Думы Торжокского муниципального округа Тверской области
от 22.10.2026 № 97)</t>
  </si>
</sst>
</file>

<file path=xl/styles.xml><?xml version="1.0" encoding="utf-8"?>
<styleSheet xmlns="http://schemas.openxmlformats.org/spreadsheetml/2006/main">
  <numFmts count="5">
    <numFmt numFmtId="164" formatCode="#,##0&quot;р.&quot;;\-#,##0&quot;р.&quot;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"/>
    <numFmt numFmtId="168" formatCode="#,##0.0"/>
  </numFmts>
  <fonts count="8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7">
    <xf numFmtId="0" fontId="0" fillId="0" borderId="0">
      <alignment wrapText="1"/>
    </xf>
    <xf numFmtId="0" fontId="66" fillId="0" borderId="0"/>
    <xf numFmtId="0" fontId="66" fillId="0" borderId="0"/>
    <xf numFmtId="0" fontId="68" fillId="0" borderId="0"/>
    <xf numFmtId="166" fontId="66" fillId="0" borderId="0" applyFont="0" applyFill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4" fillId="0" borderId="0"/>
    <xf numFmtId="0" fontId="65" fillId="0" borderId="0"/>
    <xf numFmtId="0" fontId="63" fillId="0" borderId="0"/>
    <xf numFmtId="165" fontId="69" fillId="0" borderId="0">
      <alignment vertical="top" wrapText="1"/>
    </xf>
    <xf numFmtId="165" fontId="71" fillId="0" borderId="0">
      <alignment vertical="top" wrapTex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1" fillId="0" borderId="0"/>
    <xf numFmtId="0" fontId="60" fillId="0" borderId="0"/>
    <xf numFmtId="0" fontId="60" fillId="0" borderId="0"/>
    <xf numFmtId="0" fontId="6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9" fillId="0" borderId="0"/>
    <xf numFmtId="0" fontId="58" fillId="0" borderId="0"/>
    <xf numFmtId="0" fontId="58" fillId="0" borderId="0"/>
    <xf numFmtId="0" fontId="65" fillId="0" borderId="0"/>
    <xf numFmtId="165" fontId="69" fillId="0" borderId="0">
      <alignment vertical="top" wrapText="1"/>
    </xf>
    <xf numFmtId="0" fontId="58" fillId="0" borderId="0"/>
    <xf numFmtId="0" fontId="58" fillId="0" borderId="0"/>
    <xf numFmtId="0" fontId="58" fillId="0" borderId="0"/>
    <xf numFmtId="0" fontId="6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5" fillId="0" borderId="0"/>
    <xf numFmtId="0" fontId="6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166" fontId="65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165" fontId="65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164" fontId="69" fillId="0" borderId="0">
      <alignment vertical="top" wrapText="1"/>
    </xf>
    <xf numFmtId="0" fontId="52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69" fillId="0" borderId="0">
      <alignment vertical="top" wrapText="1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65" fillId="0" borderId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9">
    <xf numFmtId="0" fontId="0" fillId="0" borderId="0" xfId="0">
      <alignment wrapText="1"/>
    </xf>
    <xf numFmtId="49" fontId="67" fillId="0" borderId="1" xfId="0" applyNumberFormat="1" applyFont="1" applyFill="1" applyBorder="1" applyAlignment="1">
      <alignment horizontal="center" vertical="center" wrapText="1"/>
    </xf>
    <xf numFmtId="165" fontId="70" fillId="0" borderId="0" xfId="12" applyNumberFormat="1" applyFont="1" applyFill="1" applyAlignment="1">
      <alignment vertical="top" wrapText="1"/>
    </xf>
    <xf numFmtId="0" fontId="73" fillId="0" borderId="3" xfId="12" applyNumberFormat="1" applyFont="1" applyFill="1" applyBorder="1" applyAlignment="1">
      <alignment horizontal="center" vertical="center" wrapText="1"/>
    </xf>
    <xf numFmtId="0" fontId="73" fillId="0" borderId="3" xfId="12" applyNumberFormat="1" applyFont="1" applyFill="1" applyBorder="1" applyAlignment="1">
      <alignment horizontal="left" vertical="center" wrapText="1"/>
    </xf>
    <xf numFmtId="0" fontId="67" fillId="0" borderId="1" xfId="0" applyFont="1" applyFill="1" applyBorder="1" applyAlignment="1">
      <alignment vertical="center" wrapText="1"/>
    </xf>
    <xf numFmtId="49" fontId="67" fillId="0" borderId="1" xfId="0" applyNumberFormat="1" applyFont="1" applyFill="1" applyBorder="1" applyAlignment="1" applyProtection="1">
      <alignment horizontal="center" vertical="center"/>
      <protection locked="0"/>
    </xf>
    <xf numFmtId="49" fontId="67" fillId="0" borderId="1" xfId="0" applyNumberFormat="1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center" vertical="center" wrapText="1"/>
    </xf>
    <xf numFmtId="0" fontId="70" fillId="0" borderId="3" xfId="12" applyNumberFormat="1" applyFont="1" applyFill="1" applyBorder="1" applyAlignment="1">
      <alignment horizontal="left" vertical="center" wrapText="1"/>
    </xf>
    <xf numFmtId="165" fontId="70" fillId="0" borderId="0" xfId="12" applyNumberFormat="1" applyFont="1" applyFill="1" applyAlignment="1">
      <alignment vertical="center" wrapText="1"/>
    </xf>
    <xf numFmtId="49" fontId="70" fillId="0" borderId="3" xfId="12" applyNumberFormat="1" applyFont="1" applyFill="1" applyBorder="1" applyAlignment="1">
      <alignment horizontal="center" vertical="center" wrapText="1"/>
    </xf>
    <xf numFmtId="0" fontId="73" fillId="0" borderId="1" xfId="12" applyNumberFormat="1" applyFont="1" applyFill="1" applyBorder="1" applyAlignment="1">
      <alignment horizontal="center" vertical="center" wrapText="1"/>
    </xf>
    <xf numFmtId="0" fontId="72" fillId="0" borderId="1" xfId="0" applyFont="1" applyFill="1" applyBorder="1" applyAlignment="1">
      <alignment horizontal="left" vertical="center" wrapText="1"/>
    </xf>
    <xf numFmtId="168" fontId="67" fillId="0" borderId="1" xfId="12" applyNumberFormat="1" applyFont="1" applyFill="1" applyBorder="1" applyAlignment="1">
      <alignment horizontal="center" vertical="center" wrapText="1"/>
    </xf>
    <xf numFmtId="0" fontId="72" fillId="0" borderId="1" xfId="0" applyFont="1" applyFill="1" applyBorder="1" applyAlignment="1">
      <alignment horizontal="left" vertical="center"/>
    </xf>
    <xf numFmtId="0" fontId="70" fillId="0" borderId="3" xfId="12" applyNumberFormat="1" applyFont="1" applyFill="1" applyBorder="1" applyAlignment="1">
      <alignment horizontal="center" vertical="center" wrapText="1"/>
    </xf>
    <xf numFmtId="168" fontId="72" fillId="0" borderId="1" xfId="12" applyNumberFormat="1" applyFont="1" applyFill="1" applyBorder="1" applyAlignment="1">
      <alignment horizontal="center" vertical="center" wrapText="1"/>
    </xf>
    <xf numFmtId="165" fontId="67" fillId="0" borderId="0" xfId="12" applyNumberFormat="1" applyFont="1" applyFill="1" applyAlignment="1">
      <alignment vertical="top" wrapText="1"/>
    </xf>
    <xf numFmtId="0" fontId="72" fillId="0" borderId="1" xfId="12" applyNumberFormat="1" applyFont="1" applyFill="1" applyBorder="1" applyAlignment="1">
      <alignment horizontal="center" vertical="center" wrapText="1"/>
    </xf>
    <xf numFmtId="0" fontId="72" fillId="0" borderId="1" xfId="13" applyNumberFormat="1" applyFont="1" applyFill="1" applyBorder="1" applyAlignment="1">
      <alignment horizontal="center" vertical="center" wrapText="1"/>
    </xf>
    <xf numFmtId="0" fontId="72" fillId="0" borderId="3" xfId="12" applyNumberFormat="1" applyFont="1" applyFill="1" applyBorder="1" applyAlignment="1">
      <alignment horizontal="left" vertical="center" wrapText="1"/>
    </xf>
    <xf numFmtId="0" fontId="67" fillId="0" borderId="1" xfId="0" applyFont="1" applyFill="1" applyBorder="1" applyAlignment="1">
      <alignment horizontal="left" vertical="center" wrapText="1"/>
    </xf>
    <xf numFmtId="0" fontId="67" fillId="0" borderId="1" xfId="0" applyFont="1" applyBorder="1" applyAlignment="1">
      <alignment horizontal="left" vertical="center" wrapText="1"/>
    </xf>
    <xf numFmtId="0" fontId="72" fillId="0" borderId="1" xfId="12" applyNumberFormat="1" applyFont="1" applyFill="1" applyBorder="1" applyAlignment="1">
      <alignment horizontal="left" vertical="center" wrapText="1"/>
    </xf>
    <xf numFmtId="0" fontId="67" fillId="0" borderId="1" xfId="0" applyFont="1" applyFill="1" applyBorder="1" applyAlignment="1" applyProtection="1">
      <alignment horizontal="left" vertical="center" wrapText="1"/>
      <protection locked="0"/>
    </xf>
    <xf numFmtId="49" fontId="67" fillId="0" borderId="1" xfId="0" applyNumberFormat="1" applyFont="1" applyFill="1" applyBorder="1" applyAlignment="1">
      <alignment horizontal="left" vertical="center" wrapText="1"/>
    </xf>
    <xf numFmtId="165" fontId="67" fillId="0" borderId="0" xfId="12" applyNumberFormat="1" applyFont="1" applyFill="1" applyAlignment="1">
      <alignment horizontal="left" vertical="center" wrapText="1"/>
    </xf>
    <xf numFmtId="0" fontId="70" fillId="0" borderId="1" xfId="12" applyNumberFormat="1" applyFont="1" applyFill="1" applyBorder="1" applyAlignment="1">
      <alignment horizontal="left" vertical="center" wrapText="1"/>
    </xf>
    <xf numFmtId="0" fontId="70" fillId="0" borderId="3" xfId="12" applyNumberFormat="1" applyFont="1" applyFill="1" applyBorder="1" applyAlignment="1">
      <alignment horizontal="left" vertical="center" wrapText="1"/>
    </xf>
    <xf numFmtId="0" fontId="67" fillId="0" borderId="1" xfId="12" applyNumberFormat="1" applyFont="1" applyFill="1" applyBorder="1" applyAlignment="1">
      <alignment vertical="center" wrapText="1"/>
    </xf>
    <xf numFmtId="0" fontId="70" fillId="0" borderId="1" xfId="12" applyNumberFormat="1" applyFont="1" applyFill="1" applyBorder="1" applyAlignment="1">
      <alignment horizontal="center" vertical="center" wrapText="1"/>
    </xf>
    <xf numFmtId="0" fontId="70" fillId="0" borderId="7" xfId="12" applyNumberFormat="1" applyFont="1" applyFill="1" applyBorder="1" applyAlignment="1">
      <alignment horizontal="left" vertical="center" wrapText="1"/>
    </xf>
    <xf numFmtId="0" fontId="67" fillId="0" borderId="0" xfId="0" applyFont="1" applyFill="1">
      <alignment wrapText="1"/>
    </xf>
    <xf numFmtId="0" fontId="70" fillId="0" borderId="3" xfId="12" applyNumberFormat="1" applyFont="1" applyFill="1" applyBorder="1" applyAlignment="1">
      <alignment horizontal="left" vertical="center" wrapText="1"/>
    </xf>
    <xf numFmtId="0" fontId="70" fillId="0" borderId="7" xfId="12" applyNumberFormat="1" applyFont="1" applyFill="1" applyBorder="1" applyAlignment="1">
      <alignment horizontal="center" vertical="center" wrapText="1"/>
    </xf>
    <xf numFmtId="0" fontId="70" fillId="0" borderId="1" xfId="12" applyNumberFormat="1" applyFont="1" applyFill="1" applyBorder="1" applyAlignment="1">
      <alignment horizontal="center" vertical="center" wrapText="1"/>
    </xf>
    <xf numFmtId="0" fontId="67" fillId="0" borderId="1" xfId="12" applyNumberFormat="1" applyFont="1" applyFill="1" applyBorder="1" applyAlignment="1">
      <alignment horizontal="left" vertical="center" wrapText="1"/>
    </xf>
    <xf numFmtId="0" fontId="70" fillId="0" borderId="12" xfId="12" applyNumberFormat="1" applyFont="1" applyFill="1" applyBorder="1" applyAlignment="1">
      <alignment horizontal="left" vertical="center" wrapText="1"/>
    </xf>
    <xf numFmtId="49" fontId="67" fillId="0" borderId="1" xfId="0" applyNumberFormat="1" applyFont="1" applyBorder="1" applyAlignment="1">
      <alignment horizontal="center" vertical="center"/>
    </xf>
    <xf numFmtId="0" fontId="67" fillId="0" borderId="0" xfId="0" applyFont="1">
      <alignment wrapText="1"/>
    </xf>
    <xf numFmtId="49" fontId="72" fillId="0" borderId="1" xfId="0" applyNumberFormat="1" applyFont="1" applyBorder="1" applyAlignment="1">
      <alignment horizontal="center" vertical="center"/>
    </xf>
    <xf numFmtId="0" fontId="72" fillId="0" borderId="1" xfId="0" applyFont="1" applyBorder="1" applyAlignment="1">
      <alignment horizontal="left" vertical="center" wrapText="1"/>
    </xf>
    <xf numFmtId="167" fontId="72" fillId="0" borderId="1" xfId="0" applyNumberFormat="1" applyFont="1" applyBorder="1" applyAlignment="1">
      <alignment horizontal="center" vertical="center"/>
    </xf>
    <xf numFmtId="167" fontId="67" fillId="0" borderId="1" xfId="0" applyNumberFormat="1" applyFont="1" applyBorder="1" applyAlignment="1">
      <alignment horizontal="center" vertical="center"/>
    </xf>
    <xf numFmtId="167" fontId="67" fillId="0" borderId="1" xfId="0" applyNumberFormat="1" applyFont="1" applyBorder="1" applyAlignment="1">
      <alignment horizontal="center" vertical="center" wrapText="1"/>
    </xf>
    <xf numFmtId="49" fontId="67" fillId="0" borderId="0" xfId="0" applyNumberFormat="1" applyFont="1" applyFill="1" applyBorder="1" applyAlignment="1">
      <alignment horizontal="center"/>
    </xf>
    <xf numFmtId="49" fontId="67" fillId="0" borderId="0" xfId="0" applyNumberFormat="1" applyFont="1" applyFill="1" applyBorder="1" applyAlignment="1">
      <alignment horizontal="right"/>
    </xf>
    <xf numFmtId="49" fontId="67" fillId="0" borderId="2" xfId="0" applyNumberFormat="1" applyFont="1" applyFill="1" applyBorder="1" applyAlignment="1">
      <alignment horizontal="center" vertical="center" wrapText="1"/>
    </xf>
    <xf numFmtId="168" fontId="67" fillId="0" borderId="2" xfId="0" applyNumberFormat="1" applyFont="1" applyFill="1" applyBorder="1" applyAlignment="1">
      <alignment horizontal="center" vertical="center" wrapText="1"/>
    </xf>
    <xf numFmtId="0" fontId="67" fillId="0" borderId="13" xfId="12" applyNumberFormat="1" applyFont="1" applyFill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7" fillId="0" borderId="1" xfId="0" applyFont="1" applyFill="1" applyBorder="1">
      <alignment wrapText="1"/>
    </xf>
    <xf numFmtId="0" fontId="67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 wrapText="1"/>
    </xf>
    <xf numFmtId="0" fontId="72" fillId="0" borderId="9" xfId="12" applyNumberFormat="1" applyFont="1" applyFill="1" applyBorder="1" applyAlignment="1">
      <alignment horizontal="left" vertical="center" wrapText="1"/>
    </xf>
    <xf numFmtId="0" fontId="70" fillId="0" borderId="3" xfId="12" applyNumberFormat="1" applyFont="1" applyFill="1" applyBorder="1" applyAlignment="1">
      <alignment horizontal="left" vertical="center" wrapText="1"/>
    </xf>
    <xf numFmtId="168" fontId="67" fillId="0" borderId="1" xfId="0" applyNumberFormat="1" applyFont="1" applyFill="1" applyBorder="1" applyAlignment="1">
      <alignment horizontal="center" vertical="center" wrapText="1"/>
    </xf>
    <xf numFmtId="49" fontId="67" fillId="0" borderId="1" xfId="12" applyNumberFormat="1" applyFont="1" applyFill="1" applyBorder="1" applyAlignment="1">
      <alignment horizontal="center" vertical="center" wrapText="1"/>
    </xf>
    <xf numFmtId="0" fontId="67" fillId="0" borderId="13" xfId="12" applyNumberFormat="1" applyFont="1" applyFill="1" applyBorder="1" applyAlignment="1">
      <alignment horizontal="left" vertical="center" wrapText="1"/>
    </xf>
    <xf numFmtId="49" fontId="67" fillId="0" borderId="0" xfId="0" applyNumberFormat="1" applyFont="1" applyFill="1" applyBorder="1" applyAlignment="1">
      <alignment horizontal="left" vertical="center" wrapText="1"/>
    </xf>
    <xf numFmtId="49" fontId="72" fillId="0" borderId="11" xfId="0" applyNumberFormat="1" applyFont="1" applyBorder="1" applyAlignment="1">
      <alignment horizontal="center" vertical="center" wrapText="1"/>
    </xf>
    <xf numFmtId="0" fontId="70" fillId="0" borderId="3" xfId="12" applyNumberFormat="1" applyFont="1" applyFill="1" applyBorder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167" fontId="67" fillId="0" borderId="1" xfId="12" applyNumberFormat="1" applyFont="1" applyFill="1" applyBorder="1" applyAlignment="1">
      <alignment horizontal="center" vertical="center" wrapText="1"/>
    </xf>
    <xf numFmtId="49" fontId="67" fillId="0" borderId="1" xfId="0" applyNumberFormat="1" applyFont="1" applyFill="1" applyBorder="1" applyAlignment="1">
      <alignment vertical="center" wrapText="1"/>
    </xf>
    <xf numFmtId="0" fontId="70" fillId="0" borderId="1" xfId="12" applyNumberFormat="1" applyFont="1" applyFill="1" applyBorder="1" applyAlignment="1">
      <alignment horizontal="center" vertical="center" wrapText="1"/>
    </xf>
    <xf numFmtId="0" fontId="67" fillId="0" borderId="1" xfId="12" applyNumberFormat="1" applyFont="1" applyFill="1" applyBorder="1" applyAlignment="1">
      <alignment horizontal="left" vertical="center" wrapText="1"/>
    </xf>
    <xf numFmtId="0" fontId="70" fillId="0" borderId="3" xfId="12" applyNumberFormat="1" applyFont="1" applyFill="1" applyBorder="1" applyAlignment="1">
      <alignment horizontal="left" vertical="center" wrapText="1"/>
    </xf>
    <xf numFmtId="0" fontId="67" fillId="0" borderId="0" xfId="0" applyFont="1" applyAlignment="1">
      <alignment horizontal="right"/>
    </xf>
    <xf numFmtId="49" fontId="67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67" fontId="67" fillId="0" borderId="1" xfId="12" applyNumberFormat="1" applyFont="1" applyFill="1" applyBorder="1" applyAlignment="1">
      <alignment horizontal="center" vertical="top" wrapText="1"/>
    </xf>
    <xf numFmtId="167" fontId="70" fillId="0" borderId="3" xfId="12" applyNumberFormat="1" applyFont="1" applyFill="1" applyBorder="1" applyAlignment="1">
      <alignment horizontal="center" vertical="center" wrapText="1"/>
    </xf>
    <xf numFmtId="167" fontId="70" fillId="0" borderId="0" xfId="12" applyNumberFormat="1" applyFont="1" applyFill="1" applyAlignment="1">
      <alignment horizontal="center" wrapText="1"/>
    </xf>
    <xf numFmtId="167" fontId="67" fillId="0" borderId="1" xfId="12" applyNumberFormat="1" applyFont="1" applyFill="1" applyBorder="1" applyAlignment="1">
      <alignment horizontal="center" wrapText="1"/>
    </xf>
    <xf numFmtId="167" fontId="70" fillId="0" borderId="3" xfId="12" applyNumberFormat="1" applyFont="1" applyFill="1" applyBorder="1" applyAlignment="1">
      <alignment horizontal="center" wrapText="1"/>
    </xf>
    <xf numFmtId="167" fontId="73" fillId="0" borderId="3" xfId="12" applyNumberFormat="1" applyFont="1" applyFill="1" applyBorder="1" applyAlignment="1">
      <alignment horizontal="center" wrapText="1"/>
    </xf>
    <xf numFmtId="167" fontId="70" fillId="0" borderId="5" xfId="12" applyNumberFormat="1" applyFont="1" applyFill="1" applyBorder="1" applyAlignment="1">
      <alignment horizontal="center" wrapText="1"/>
    </xf>
    <xf numFmtId="167" fontId="70" fillId="0" borderId="15" xfId="12" applyNumberFormat="1" applyFont="1" applyFill="1" applyBorder="1" applyAlignment="1">
      <alignment horizontal="center" wrapText="1"/>
    </xf>
    <xf numFmtId="167" fontId="73" fillId="0" borderId="1" xfId="12" applyNumberFormat="1" applyFont="1" applyFill="1" applyBorder="1" applyAlignment="1">
      <alignment horizontal="center" wrapText="1"/>
    </xf>
    <xf numFmtId="167" fontId="70" fillId="0" borderId="1" xfId="12" applyNumberFormat="1" applyFont="1" applyFill="1" applyBorder="1" applyAlignment="1">
      <alignment horizontal="center" wrapText="1"/>
    </xf>
    <xf numFmtId="0" fontId="67" fillId="0" borderId="1" xfId="94" applyNumberFormat="1" applyFont="1" applyFill="1" applyBorder="1" applyAlignment="1">
      <alignment horizontal="center" vertical="center" wrapText="1"/>
    </xf>
    <xf numFmtId="0" fontId="72" fillId="0" borderId="11" xfId="0" applyFont="1" applyBorder="1" applyAlignment="1">
      <alignment horizontal="left" vertical="center" wrapText="1"/>
    </xf>
    <xf numFmtId="0" fontId="75" fillId="0" borderId="3" xfId="12" applyNumberFormat="1" applyFont="1" applyFill="1" applyBorder="1" applyAlignment="1">
      <alignment horizontal="center" vertical="center" wrapText="1"/>
    </xf>
    <xf numFmtId="167" fontId="75" fillId="0" borderId="3" xfId="12" applyNumberFormat="1" applyFont="1" applyFill="1" applyBorder="1" applyAlignment="1">
      <alignment horizontal="center" wrapText="1"/>
    </xf>
    <xf numFmtId="1" fontId="75" fillId="0" borderId="3" xfId="12" applyNumberFormat="1" applyFont="1" applyFill="1" applyBorder="1" applyAlignment="1">
      <alignment horizontal="center" wrapText="1"/>
    </xf>
    <xf numFmtId="0" fontId="67" fillId="0" borderId="0" xfId="0" applyFont="1" applyAlignment="1">
      <alignment horizontal="right"/>
    </xf>
    <xf numFmtId="0" fontId="70" fillId="0" borderId="0" xfId="12" applyNumberFormat="1" applyFont="1" applyFill="1" applyAlignment="1">
      <alignment horizontal="right" vertical="center" wrapText="1"/>
    </xf>
    <xf numFmtId="0" fontId="67" fillId="0" borderId="1" xfId="183" applyNumberFormat="1" applyFont="1" applyFill="1" applyBorder="1" applyAlignment="1">
      <alignment horizontal="center" vertical="center" wrapText="1"/>
    </xf>
    <xf numFmtId="0" fontId="70" fillId="0" borderId="0" xfId="12" applyNumberFormat="1" applyFont="1" applyFill="1" applyAlignment="1">
      <alignment horizontal="right" vertical="center" wrapText="1"/>
    </xf>
    <xf numFmtId="0" fontId="70" fillId="0" borderId="3" xfId="12" applyNumberFormat="1" applyFont="1" applyFill="1" applyBorder="1" applyAlignment="1">
      <alignment horizontal="left" vertical="center" wrapText="1"/>
    </xf>
    <xf numFmtId="0" fontId="67" fillId="0" borderId="1" xfId="0" applyFont="1" applyFill="1" applyBorder="1" applyAlignment="1">
      <alignment horizontal="center" vertical="center"/>
    </xf>
    <xf numFmtId="165" fontId="67" fillId="0" borderId="0" xfId="13" applyNumberFormat="1" applyFont="1" applyFill="1" applyBorder="1" applyAlignment="1">
      <alignment vertical="center" wrapText="1"/>
    </xf>
    <xf numFmtId="165" fontId="67" fillId="0" borderId="0" xfId="13" applyNumberFormat="1" applyFont="1" applyFill="1" applyAlignment="1">
      <alignment vertical="center" wrapText="1"/>
    </xf>
    <xf numFmtId="0" fontId="72" fillId="0" borderId="7" xfId="13" applyNumberFormat="1" applyFont="1" applyFill="1" applyBorder="1" applyAlignment="1">
      <alignment horizontal="center" vertical="center" wrapText="1"/>
    </xf>
    <xf numFmtId="0" fontId="72" fillId="0" borderId="7" xfId="13" applyNumberFormat="1" applyFont="1" applyFill="1" applyBorder="1" applyAlignment="1">
      <alignment horizontal="left" vertical="center" wrapText="1"/>
    </xf>
    <xf numFmtId="167" fontId="72" fillId="0" borderId="7" xfId="13" applyNumberFormat="1" applyFont="1" applyFill="1" applyBorder="1" applyAlignment="1">
      <alignment horizontal="center" vertical="center" wrapText="1"/>
    </xf>
    <xf numFmtId="167" fontId="72" fillId="0" borderId="1" xfId="13" applyNumberFormat="1" applyFont="1" applyFill="1" applyBorder="1" applyAlignment="1">
      <alignment horizontal="center" vertical="center" wrapText="1"/>
    </xf>
    <xf numFmtId="167" fontId="67" fillId="0" borderId="1" xfId="13" applyNumberFormat="1" applyFont="1" applyFill="1" applyBorder="1" applyAlignment="1">
      <alignment horizontal="center" vertical="center" wrapText="1"/>
    </xf>
    <xf numFmtId="0" fontId="67" fillId="0" borderId="2" xfId="12" applyNumberFormat="1" applyFont="1" applyFill="1" applyBorder="1" applyAlignment="1">
      <alignment horizontal="center" vertical="center" wrapText="1"/>
    </xf>
    <xf numFmtId="0" fontId="67" fillId="0" borderId="2" xfId="0" applyFont="1" applyFill="1" applyBorder="1" applyAlignment="1">
      <alignment horizontal="center" vertical="center" wrapText="1"/>
    </xf>
    <xf numFmtId="165" fontId="67" fillId="0" borderId="1" xfId="12" applyNumberFormat="1" applyFont="1" applyFill="1" applyBorder="1" applyAlignment="1">
      <alignment vertical="top" wrapText="1"/>
    </xf>
    <xf numFmtId="165" fontId="67" fillId="0" borderId="0" xfId="13" applyNumberFormat="1" applyFont="1" applyFill="1" applyBorder="1" applyAlignment="1">
      <alignment horizontal="left" vertical="center" wrapText="1"/>
    </xf>
    <xf numFmtId="167" fontId="67" fillId="0" borderId="0" xfId="13" applyNumberFormat="1" applyFont="1" applyFill="1" applyBorder="1" applyAlignment="1">
      <alignment vertical="center" wrapText="1"/>
    </xf>
    <xf numFmtId="165" fontId="67" fillId="0" borderId="0" xfId="13" applyNumberFormat="1" applyFont="1" applyFill="1" applyAlignment="1">
      <alignment horizontal="left" vertical="center" wrapText="1"/>
    </xf>
    <xf numFmtId="167" fontId="67" fillId="0" borderId="0" xfId="13" applyNumberFormat="1" applyFont="1" applyFill="1" applyAlignment="1">
      <alignment vertical="center" wrapText="1"/>
    </xf>
    <xf numFmtId="0" fontId="67" fillId="0" borderId="1" xfId="12" applyNumberFormat="1" applyFont="1" applyFill="1" applyBorder="1" applyAlignment="1">
      <alignment horizontal="left" vertical="center" wrapText="1"/>
    </xf>
    <xf numFmtId="0" fontId="67" fillId="0" borderId="1" xfId="12" applyNumberFormat="1" applyFont="1" applyFill="1" applyBorder="1" applyAlignment="1">
      <alignment horizontal="center" vertical="center" wrapText="1"/>
    </xf>
    <xf numFmtId="0" fontId="67" fillId="0" borderId="0" xfId="13" applyNumberFormat="1" applyFont="1" applyFill="1" applyAlignment="1">
      <alignment horizontal="right" vertical="center" wrapText="1"/>
    </xf>
    <xf numFmtId="0" fontId="67" fillId="0" borderId="3" xfId="12" applyNumberFormat="1" applyFont="1" applyFill="1" applyBorder="1" applyAlignment="1">
      <alignment horizontal="center" vertical="center" wrapText="1"/>
    </xf>
    <xf numFmtId="0" fontId="67" fillId="0" borderId="3" xfId="13" applyNumberFormat="1" applyFont="1" applyFill="1" applyBorder="1" applyAlignment="1">
      <alignment horizontal="center" vertical="center" wrapText="1"/>
    </xf>
    <xf numFmtId="167" fontId="67" fillId="0" borderId="3" xfId="13" applyNumberFormat="1" applyFont="1" applyFill="1" applyBorder="1" applyAlignment="1">
      <alignment horizontal="center" vertical="center" wrapText="1"/>
    </xf>
    <xf numFmtId="0" fontId="67" fillId="0" borderId="0" xfId="12" applyNumberFormat="1" applyFont="1" applyFill="1" applyAlignment="1">
      <alignment horizontal="right" vertical="top" wrapText="1"/>
    </xf>
    <xf numFmtId="2" fontId="67" fillId="0" borderId="0" xfId="12" applyNumberFormat="1" applyFont="1" applyFill="1" applyAlignment="1">
      <alignment vertical="top" wrapText="1"/>
    </xf>
    <xf numFmtId="0" fontId="67" fillId="0" borderId="0" xfId="12" applyNumberFormat="1" applyFont="1" applyFill="1" applyAlignment="1">
      <alignment horizontal="right" vertical="center" wrapText="1"/>
    </xf>
    <xf numFmtId="0" fontId="72" fillId="0" borderId="3" xfId="12" applyNumberFormat="1" applyFont="1" applyFill="1" applyBorder="1" applyAlignment="1">
      <alignment horizontal="center" vertical="center" wrapText="1"/>
    </xf>
    <xf numFmtId="168" fontId="72" fillId="0" borderId="3" xfId="12" applyNumberFormat="1" applyFont="1" applyFill="1" applyBorder="1" applyAlignment="1">
      <alignment horizontal="center" vertical="center" wrapText="1"/>
    </xf>
    <xf numFmtId="0" fontId="67" fillId="0" borderId="3" xfId="12" applyNumberFormat="1" applyFont="1" applyFill="1" applyBorder="1" applyAlignment="1">
      <alignment horizontal="left" vertical="center" wrapText="1"/>
    </xf>
    <xf numFmtId="168" fontId="67" fillId="0" borderId="3" xfId="12" applyNumberFormat="1" applyFont="1" applyFill="1" applyBorder="1" applyAlignment="1">
      <alignment horizontal="center" vertical="center" wrapText="1"/>
    </xf>
    <xf numFmtId="0" fontId="67" fillId="0" borderId="11" xfId="12" applyNumberFormat="1" applyFont="1" applyFill="1" applyBorder="1" applyAlignment="1">
      <alignment horizontal="center" vertical="center" wrapText="1"/>
    </xf>
    <xf numFmtId="168" fontId="72" fillId="0" borderId="9" xfId="12" applyNumberFormat="1" applyFont="1" applyFill="1" applyBorder="1" applyAlignment="1">
      <alignment horizontal="center" vertical="center" wrapText="1"/>
    </xf>
    <xf numFmtId="0" fontId="72" fillId="0" borderId="4" xfId="12" applyNumberFormat="1" applyFont="1" applyFill="1" applyBorder="1" applyAlignment="1">
      <alignment horizontal="center" vertical="center" wrapText="1"/>
    </xf>
    <xf numFmtId="0" fontId="72" fillId="0" borderId="9" xfId="12" applyNumberFormat="1" applyFont="1" applyFill="1" applyBorder="1" applyAlignment="1">
      <alignment horizontal="center" vertical="center" wrapText="1"/>
    </xf>
    <xf numFmtId="0" fontId="72" fillId="0" borderId="17" xfId="12" applyNumberFormat="1" applyFont="1" applyFill="1" applyBorder="1" applyAlignment="1">
      <alignment horizontal="center" vertical="center" wrapText="1"/>
    </xf>
    <xf numFmtId="0" fontId="72" fillId="0" borderId="11" xfId="12" applyNumberFormat="1" applyFont="1" applyFill="1" applyBorder="1" applyAlignment="1">
      <alignment horizontal="left" vertical="center" wrapText="1"/>
    </xf>
    <xf numFmtId="168" fontId="67" fillId="0" borderId="2" xfId="12" applyNumberFormat="1" applyFont="1" applyFill="1" applyBorder="1" applyAlignment="1">
      <alignment horizontal="center" vertical="center" wrapText="1"/>
    </xf>
    <xf numFmtId="49" fontId="72" fillId="0" borderId="1" xfId="12" applyNumberFormat="1" applyFont="1" applyFill="1" applyBorder="1" applyAlignment="1">
      <alignment horizontal="center" vertical="center" wrapText="1"/>
    </xf>
    <xf numFmtId="165" fontId="67" fillId="0" borderId="0" xfId="12" applyNumberFormat="1" applyFont="1" applyFill="1" applyAlignment="1">
      <alignment vertical="center" wrapText="1"/>
    </xf>
    <xf numFmtId="165" fontId="67" fillId="0" borderId="0" xfId="12" applyNumberFormat="1" applyFont="1" applyFill="1" applyAlignment="1">
      <alignment horizontal="center" vertical="center" wrapText="1"/>
    </xf>
    <xf numFmtId="49" fontId="67" fillId="0" borderId="11" xfId="12" applyNumberFormat="1" applyFont="1" applyFill="1" applyBorder="1" applyAlignment="1">
      <alignment horizontal="center" vertical="center" wrapText="1"/>
    </xf>
    <xf numFmtId="0" fontId="67" fillId="0" borderId="9" xfId="12" applyNumberFormat="1" applyFont="1" applyFill="1" applyBorder="1" applyAlignment="1">
      <alignment horizontal="left" vertical="center" wrapText="1"/>
    </xf>
    <xf numFmtId="0" fontId="67" fillId="0" borderId="4" xfId="12" applyNumberFormat="1" applyFont="1" applyFill="1" applyBorder="1" applyAlignment="1">
      <alignment horizontal="center" vertical="center" wrapText="1"/>
    </xf>
    <xf numFmtId="0" fontId="67" fillId="0" borderId="1" xfId="12" applyNumberFormat="1" applyFont="1" applyFill="1" applyBorder="1" applyAlignment="1">
      <alignment horizontal="left" vertical="center" wrapText="1"/>
    </xf>
    <xf numFmtId="0" fontId="67" fillId="0" borderId="0" xfId="287" applyFont="1" applyAlignment="1">
      <alignment horizontal="left"/>
    </xf>
    <xf numFmtId="0" fontId="67" fillId="0" borderId="0" xfId="287" applyFont="1"/>
    <xf numFmtId="0" fontId="67" fillId="0" borderId="0" xfId="287" applyFont="1" applyAlignment="1">
      <alignment horizontal="center"/>
    </xf>
    <xf numFmtId="0" fontId="72" fillId="0" borderId="0" xfId="287" applyFont="1" applyAlignment="1">
      <alignment horizontal="center"/>
    </xf>
    <xf numFmtId="0" fontId="67" fillId="0" borderId="11" xfId="287" applyFont="1" applyBorder="1" applyAlignment="1">
      <alignment horizontal="center" vertical="center" wrapText="1"/>
    </xf>
    <xf numFmtId="0" fontId="72" fillId="0" borderId="11" xfId="287" applyFont="1" applyBorder="1" applyAlignment="1">
      <alignment horizontal="center" vertical="center" wrapText="1"/>
    </xf>
    <xf numFmtId="0" fontId="72" fillId="0" borderId="1" xfId="288" applyFont="1" applyBorder="1" applyAlignment="1">
      <alignment horizontal="left" vertical="center" wrapText="1"/>
    </xf>
    <xf numFmtId="0" fontId="72" fillId="0" borderId="12" xfId="287" applyFont="1" applyFill="1" applyBorder="1" applyAlignment="1">
      <alignment horizontal="center" vertical="center" wrapText="1"/>
    </xf>
    <xf numFmtId="167" fontId="72" fillId="0" borderId="1" xfId="287" applyNumberFormat="1" applyFont="1" applyBorder="1" applyAlignment="1">
      <alignment horizontal="center" vertical="center" wrapText="1"/>
    </xf>
    <xf numFmtId="49" fontId="72" fillId="0" borderId="1" xfId="287" applyNumberFormat="1" applyFont="1" applyFill="1" applyBorder="1" applyAlignment="1">
      <alignment horizontal="center" vertical="center" wrapText="1"/>
    </xf>
    <xf numFmtId="0" fontId="72" fillId="0" borderId="0" xfId="287" applyFont="1"/>
    <xf numFmtId="49" fontId="67" fillId="0" borderId="1" xfId="288" applyNumberFormat="1" applyFont="1" applyBorder="1" applyAlignment="1">
      <alignment horizontal="left" vertical="center" wrapText="1"/>
    </xf>
    <xf numFmtId="167" fontId="67" fillId="0" borderId="11" xfId="287" applyNumberFormat="1" applyFont="1" applyBorder="1" applyAlignment="1">
      <alignment horizontal="center" vertical="center" wrapText="1"/>
    </xf>
    <xf numFmtId="167" fontId="67" fillId="0" borderId="1" xfId="287" applyNumberFormat="1" applyFont="1" applyBorder="1" applyAlignment="1">
      <alignment horizontal="center" vertical="center" wrapText="1"/>
    </xf>
    <xf numFmtId="49" fontId="67" fillId="0" borderId="1" xfId="287" applyNumberFormat="1" applyFont="1" applyBorder="1" applyAlignment="1">
      <alignment horizontal="center" vertical="center" wrapText="1"/>
    </xf>
    <xf numFmtId="0" fontId="67" fillId="0" borderId="1" xfId="288" applyFont="1" applyFill="1" applyBorder="1" applyAlignment="1">
      <alignment horizontal="left" vertical="center" wrapText="1"/>
    </xf>
    <xf numFmtId="0" fontId="67" fillId="0" borderId="12" xfId="289" applyFont="1" applyFill="1" applyBorder="1" applyAlignment="1">
      <alignment horizontal="left" vertical="center" wrapText="1"/>
    </xf>
    <xf numFmtId="0" fontId="67" fillId="0" borderId="1" xfId="289" applyFont="1" applyFill="1" applyBorder="1" applyAlignment="1">
      <alignment horizontal="left" vertical="center" wrapText="1"/>
    </xf>
    <xf numFmtId="0" fontId="67" fillId="0" borderId="12" xfId="289" applyFont="1" applyFill="1" applyBorder="1" applyAlignment="1">
      <alignment horizontal="center" vertical="center" wrapText="1"/>
    </xf>
    <xf numFmtId="0" fontId="67" fillId="0" borderId="1" xfId="289" applyFont="1" applyFill="1" applyBorder="1" applyAlignment="1">
      <alignment horizontal="center" vertical="center" wrapText="1"/>
    </xf>
    <xf numFmtId="0" fontId="76" fillId="0" borderId="11" xfId="288" applyFont="1" applyFill="1" applyBorder="1" applyAlignment="1">
      <alignment horizontal="left" vertical="center" wrapText="1"/>
    </xf>
    <xf numFmtId="167" fontId="67" fillId="0" borderId="12" xfId="287" applyNumberFormat="1" applyFont="1" applyBorder="1" applyAlignment="1">
      <alignment horizontal="center" vertical="center" wrapText="1"/>
    </xf>
    <xf numFmtId="49" fontId="67" fillId="0" borderId="12" xfId="287" applyNumberFormat="1" applyFont="1" applyBorder="1" applyAlignment="1">
      <alignment horizontal="center" vertical="center" wrapText="1"/>
    </xf>
    <xf numFmtId="0" fontId="72" fillId="0" borderId="1" xfId="288" applyFont="1" applyFill="1" applyBorder="1" applyAlignment="1">
      <alignment horizontal="left" vertical="center" wrapText="1"/>
    </xf>
    <xf numFmtId="167" fontId="72" fillId="0" borderId="12" xfId="287" applyNumberFormat="1" applyFont="1" applyBorder="1" applyAlignment="1">
      <alignment horizontal="center" vertical="center" wrapText="1"/>
    </xf>
    <xf numFmtId="0" fontId="67" fillId="0" borderId="1" xfId="288" applyFont="1" applyBorder="1" applyAlignment="1">
      <alignment horizontal="left" vertical="center" wrapText="1"/>
    </xf>
    <xf numFmtId="0" fontId="67" fillId="0" borderId="12" xfId="288" applyFont="1" applyBorder="1" applyAlignment="1">
      <alignment horizontal="center" vertical="center" wrapText="1"/>
    </xf>
    <xf numFmtId="0" fontId="67" fillId="0" borderId="12" xfId="289" applyFont="1" applyFill="1" applyBorder="1" applyAlignment="1">
      <alignment vertical="center" wrapText="1"/>
    </xf>
    <xf numFmtId="167" fontId="67" fillId="0" borderId="1" xfId="287" applyNumberFormat="1" applyFont="1" applyFill="1" applyBorder="1" applyAlignment="1">
      <alignment horizontal="center" vertical="center" wrapText="1"/>
    </xf>
    <xf numFmtId="0" fontId="72" fillId="0" borderId="1" xfId="287" applyFont="1" applyBorder="1" applyAlignment="1">
      <alignment horizontal="left" vertical="center" wrapText="1"/>
    </xf>
    <xf numFmtId="0" fontId="72" fillId="0" borderId="1" xfId="287" applyFont="1" applyBorder="1" applyAlignment="1">
      <alignment horizontal="center" vertical="center" wrapText="1"/>
    </xf>
    <xf numFmtId="49" fontId="72" fillId="0" borderId="1" xfId="287" applyNumberFormat="1" applyFont="1" applyBorder="1" applyAlignment="1">
      <alignment horizontal="center" vertical="center" wrapText="1"/>
    </xf>
    <xf numFmtId="0" fontId="67" fillId="0" borderId="0" xfId="287" applyFont="1" applyBorder="1" applyAlignment="1">
      <alignment horizontal="left" vertical="center" wrapText="1"/>
    </xf>
    <xf numFmtId="0" fontId="77" fillId="0" borderId="0" xfId="287" applyFont="1" applyBorder="1" applyAlignment="1">
      <alignment horizontal="left" vertical="center" wrapText="1"/>
    </xf>
    <xf numFmtId="0" fontId="77" fillId="0" borderId="0" xfId="287" applyFont="1" applyBorder="1" applyAlignment="1">
      <alignment horizontal="center" vertical="center" wrapText="1"/>
    </xf>
    <xf numFmtId="167" fontId="77" fillId="0" borderId="0" xfId="287" applyNumberFormat="1" applyFont="1" applyFill="1" applyBorder="1" applyAlignment="1">
      <alignment horizontal="center" vertical="center" wrapText="1"/>
    </xf>
    <xf numFmtId="167" fontId="74" fillId="0" borderId="0" xfId="287" applyNumberFormat="1" applyFont="1" applyBorder="1" applyAlignment="1">
      <alignment horizontal="center" vertical="center" wrapText="1"/>
    </xf>
    <xf numFmtId="49" fontId="77" fillId="0" borderId="0" xfId="287" applyNumberFormat="1" applyFont="1" applyBorder="1" applyAlignment="1">
      <alignment horizontal="center" vertical="center" wrapText="1"/>
    </xf>
    <xf numFmtId="0" fontId="67" fillId="0" borderId="0" xfId="287" applyFont="1" applyBorder="1" applyAlignment="1">
      <alignment horizontal="center" vertical="center" wrapText="1"/>
    </xf>
    <xf numFmtId="167" fontId="67" fillId="0" borderId="0" xfId="287" applyNumberFormat="1" applyFont="1" applyFill="1" applyBorder="1" applyAlignment="1">
      <alignment horizontal="center" vertical="center" wrapText="1"/>
    </xf>
    <xf numFmtId="167" fontId="72" fillId="0" borderId="0" xfId="287" applyNumberFormat="1" applyFont="1" applyBorder="1" applyAlignment="1">
      <alignment horizontal="center" vertical="center" wrapText="1"/>
    </xf>
    <xf numFmtId="49" fontId="67" fillId="0" borderId="0" xfId="287" applyNumberFormat="1" applyFont="1" applyBorder="1" applyAlignment="1">
      <alignment horizontal="center" vertical="center" wrapText="1"/>
    </xf>
    <xf numFmtId="0" fontId="67" fillId="0" borderId="0" xfId="12" applyNumberFormat="1" applyFont="1" applyFill="1" applyAlignment="1">
      <alignment horizontal="right" vertical="top" wrapText="1"/>
    </xf>
    <xf numFmtId="0" fontId="67" fillId="0" borderId="1" xfId="12" applyNumberFormat="1" applyFont="1" applyFill="1" applyBorder="1" applyAlignment="1">
      <alignment horizontal="center" vertical="center" wrapText="1"/>
    </xf>
    <xf numFmtId="0" fontId="67" fillId="0" borderId="1" xfId="12" applyNumberFormat="1" applyFont="1" applyFill="1" applyBorder="1" applyAlignment="1">
      <alignment horizontal="left" vertical="center" wrapText="1"/>
    </xf>
    <xf numFmtId="0" fontId="67" fillId="0" borderId="3" xfId="12" applyNumberFormat="1" applyFont="1" applyFill="1" applyBorder="1" applyAlignment="1">
      <alignment horizontal="center" vertical="center" wrapText="1"/>
    </xf>
    <xf numFmtId="0" fontId="67" fillId="0" borderId="3" xfId="12" applyNumberFormat="1" applyFont="1" applyFill="1" applyBorder="1" applyAlignment="1">
      <alignment horizontal="left" vertical="center" wrapText="1"/>
    </xf>
    <xf numFmtId="49" fontId="67" fillId="0" borderId="0" xfId="290" applyNumberFormat="1" applyFont="1" applyAlignment="1">
      <alignment horizontal="center" vertical="center"/>
    </xf>
    <xf numFmtId="0" fontId="67" fillId="0" borderId="0" xfId="290" applyFont="1" applyAlignment="1">
      <alignment vertical="center"/>
    </xf>
    <xf numFmtId="0" fontId="78" fillId="0" borderId="0" xfId="290" applyFont="1"/>
    <xf numFmtId="0" fontId="67" fillId="0" borderId="0" xfId="290" applyFont="1" applyAlignment="1">
      <alignment horizontal="center"/>
    </xf>
    <xf numFmtId="0" fontId="67" fillId="0" borderId="0" xfId="290" applyFont="1" applyAlignment="1">
      <alignment horizontal="right" vertical="center" wrapText="1"/>
    </xf>
    <xf numFmtId="0" fontId="67" fillId="0" borderId="0" xfId="290" applyFont="1" applyFill="1" applyAlignment="1">
      <alignment horizontal="right" vertical="center" wrapText="1"/>
    </xf>
    <xf numFmtId="0" fontId="72" fillId="0" borderId="0" xfId="290" applyFont="1" applyAlignment="1">
      <alignment horizontal="center" vertical="center" wrapText="1"/>
    </xf>
    <xf numFmtId="0" fontId="72" fillId="0" borderId="0" xfId="290" applyFont="1" applyFill="1" applyAlignment="1">
      <alignment horizontal="center" vertical="center" wrapText="1"/>
    </xf>
    <xf numFmtId="0" fontId="72" fillId="0" borderId="1" xfId="290" applyFont="1" applyFill="1" applyBorder="1" applyAlignment="1">
      <alignment horizontal="center" vertical="center"/>
    </xf>
    <xf numFmtId="0" fontId="72" fillId="0" borderId="1" xfId="290" applyFont="1" applyBorder="1" applyAlignment="1">
      <alignment horizontal="center" vertical="center"/>
    </xf>
    <xf numFmtId="49" fontId="72" fillId="0" borderId="1" xfId="291" applyNumberFormat="1" applyFont="1" applyBorder="1" applyAlignment="1">
      <alignment horizontal="center" vertical="center"/>
    </xf>
    <xf numFmtId="0" fontId="72" fillId="0" borderId="1" xfId="291" applyFont="1" applyBorder="1" applyAlignment="1">
      <alignment horizontal="justify" vertical="center" wrapText="1"/>
    </xf>
    <xf numFmtId="168" fontId="72" fillId="0" borderId="1" xfId="291" applyNumberFormat="1" applyFont="1" applyFill="1" applyBorder="1" applyAlignment="1">
      <alignment horizontal="center" vertical="center"/>
    </xf>
    <xf numFmtId="168" fontId="72" fillId="0" borderId="1" xfId="291" applyNumberFormat="1" applyFont="1" applyBorder="1" applyAlignment="1">
      <alignment horizontal="center" vertical="center"/>
    </xf>
    <xf numFmtId="168" fontId="78" fillId="0" borderId="0" xfId="290" applyNumberFormat="1" applyFont="1"/>
    <xf numFmtId="49" fontId="67" fillId="0" borderId="1" xfId="291" applyNumberFormat="1" applyFont="1" applyBorder="1" applyAlignment="1">
      <alignment horizontal="center" vertical="center"/>
    </xf>
    <xf numFmtId="0" fontId="67" fillId="0" borderId="1" xfId="291" applyFont="1" applyBorder="1" applyAlignment="1">
      <alignment horizontal="justify" vertical="center" wrapText="1"/>
    </xf>
    <xf numFmtId="168" fontId="67" fillId="0" borderId="1" xfId="291" applyNumberFormat="1" applyFont="1" applyFill="1" applyBorder="1" applyAlignment="1">
      <alignment horizontal="center" vertical="center" wrapText="1"/>
    </xf>
    <xf numFmtId="168" fontId="67" fillId="0" borderId="1" xfId="291" applyNumberFormat="1" applyFont="1" applyBorder="1" applyAlignment="1">
      <alignment horizontal="center" vertical="center" wrapText="1"/>
    </xf>
    <xf numFmtId="168" fontId="67" fillId="0" borderId="1" xfId="291" applyNumberFormat="1" applyFont="1" applyFill="1" applyBorder="1" applyAlignment="1">
      <alignment horizontal="center" vertical="center"/>
    </xf>
    <xf numFmtId="168" fontId="67" fillId="0" borderId="1" xfId="291" applyNumberFormat="1" applyFont="1" applyBorder="1" applyAlignment="1">
      <alignment horizontal="center" vertical="center"/>
    </xf>
    <xf numFmtId="0" fontId="67" fillId="0" borderId="1" xfId="291" applyFont="1" applyBorder="1" applyAlignment="1">
      <alignment horizontal="justify" vertical="top" wrapText="1"/>
    </xf>
    <xf numFmtId="0" fontId="67" fillId="0" borderId="1" xfId="291" applyFont="1" applyBorder="1" applyAlignment="1">
      <alignment horizontal="left" vertical="top" wrapText="1"/>
    </xf>
    <xf numFmtId="168" fontId="72" fillId="0" borderId="1" xfId="291" applyNumberFormat="1" applyFont="1" applyFill="1" applyBorder="1" applyAlignment="1">
      <alignment horizontal="center" vertical="center" wrapText="1"/>
    </xf>
    <xf numFmtId="168" fontId="72" fillId="0" borderId="1" xfId="291" applyNumberFormat="1" applyFont="1" applyBorder="1" applyAlignment="1">
      <alignment horizontal="center" vertical="center" wrapText="1"/>
    </xf>
    <xf numFmtId="0" fontId="79" fillId="0" borderId="0" xfId="290" applyFont="1"/>
    <xf numFmtId="0" fontId="72" fillId="0" borderId="1" xfId="291" applyFont="1" applyBorder="1" applyAlignment="1">
      <alignment horizontal="justify" vertical="top" wrapText="1"/>
    </xf>
    <xf numFmtId="49" fontId="67" fillId="0" borderId="1" xfId="291" applyNumberFormat="1" applyFont="1" applyBorder="1" applyAlignment="1">
      <alignment horizontal="center" vertical="center" wrapText="1"/>
    </xf>
    <xf numFmtId="0" fontId="72" fillId="0" borderId="2" xfId="291" applyFont="1" applyBorder="1" applyAlignment="1">
      <alignment horizontal="justify" vertical="top" wrapText="1"/>
    </xf>
    <xf numFmtId="168" fontId="72" fillId="0" borderId="2" xfId="291" applyNumberFormat="1" applyFont="1" applyFill="1" applyBorder="1" applyAlignment="1">
      <alignment horizontal="center" vertical="center"/>
    </xf>
    <xf numFmtId="168" fontId="72" fillId="0" borderId="2" xfId="291" applyNumberFormat="1" applyFont="1" applyBorder="1" applyAlignment="1">
      <alignment horizontal="center" vertical="center"/>
    </xf>
    <xf numFmtId="49" fontId="72" fillId="0" borderId="11" xfId="291" applyNumberFormat="1" applyFont="1" applyBorder="1" applyAlignment="1">
      <alignment horizontal="center" vertical="center"/>
    </xf>
    <xf numFmtId="0" fontId="72" fillId="0" borderId="19" xfId="291" applyFont="1" applyBorder="1" applyAlignment="1">
      <alignment horizontal="justify" vertical="top" wrapText="1"/>
    </xf>
    <xf numFmtId="168" fontId="72" fillId="0" borderId="19" xfId="291" applyNumberFormat="1" applyFont="1" applyFill="1" applyBorder="1" applyAlignment="1">
      <alignment horizontal="center" vertical="center"/>
    </xf>
    <xf numFmtId="168" fontId="72" fillId="0" borderId="19" xfId="291" applyNumberFormat="1" applyFont="1" applyBorder="1" applyAlignment="1">
      <alignment horizontal="center" vertical="center"/>
    </xf>
    <xf numFmtId="49" fontId="67" fillId="0" borderId="11" xfId="291" applyNumberFormat="1" applyFont="1" applyBorder="1" applyAlignment="1">
      <alignment horizontal="center" vertical="center"/>
    </xf>
    <xf numFmtId="0" fontId="67" fillId="0" borderId="19" xfId="291" applyFont="1" applyBorder="1" applyAlignment="1">
      <alignment horizontal="justify" vertical="top" wrapText="1"/>
    </xf>
    <xf numFmtId="168" fontId="67" fillId="0" borderId="19" xfId="291" applyNumberFormat="1" applyFont="1" applyFill="1" applyBorder="1" applyAlignment="1">
      <alignment horizontal="center" vertical="center"/>
    </xf>
    <xf numFmtId="168" fontId="67" fillId="0" borderId="19" xfId="291" applyNumberFormat="1" applyFont="1" applyBorder="1" applyAlignment="1">
      <alignment horizontal="center" vertical="center"/>
    </xf>
    <xf numFmtId="0" fontId="72" fillId="0" borderId="1" xfId="291" applyFont="1" applyBorder="1" applyAlignment="1">
      <alignment horizontal="center" vertical="center"/>
    </xf>
    <xf numFmtId="0" fontId="67" fillId="0" borderId="1" xfId="291" applyFont="1" applyBorder="1" applyAlignment="1">
      <alignment horizontal="center" vertical="center"/>
    </xf>
    <xf numFmtId="0" fontId="72" fillId="0" borderId="1" xfId="292" applyFont="1" applyBorder="1" applyAlignment="1">
      <alignment horizontal="center" vertical="center"/>
    </xf>
    <xf numFmtId="0" fontId="72" fillId="0" borderId="1" xfId="292" applyFont="1" applyBorder="1" applyAlignment="1">
      <alignment horizontal="justify" vertical="center" wrapText="1"/>
    </xf>
    <xf numFmtId="0" fontId="67" fillId="0" borderId="1" xfId="291" applyFont="1" applyBorder="1" applyAlignment="1">
      <alignment horizontal="center" vertical="center" wrapText="1"/>
    </xf>
    <xf numFmtId="0" fontId="67" fillId="0" borderId="1" xfId="292" applyFont="1" applyBorder="1" applyAlignment="1">
      <alignment horizontal="left" vertical="top" wrapText="1"/>
    </xf>
    <xf numFmtId="0" fontId="67" fillId="0" borderId="1" xfId="293" applyFont="1" applyBorder="1" applyAlignment="1">
      <alignment horizontal="center" vertical="center" wrapText="1"/>
    </xf>
    <xf numFmtId="0" fontId="67" fillId="0" borderId="1" xfId="293" applyFont="1" applyBorder="1" applyAlignment="1">
      <alignment horizontal="justify" vertical="center" wrapText="1"/>
    </xf>
    <xf numFmtId="0" fontId="67" fillId="0" borderId="2" xfId="291" applyFont="1" applyBorder="1" applyAlignment="1">
      <alignment horizontal="justify" vertical="center" wrapText="1"/>
    </xf>
    <xf numFmtId="168" fontId="67" fillId="0" borderId="2" xfId="291" applyNumberFormat="1" applyFont="1" applyFill="1" applyBorder="1" applyAlignment="1">
      <alignment horizontal="center" vertical="center"/>
    </xf>
    <xf numFmtId="168" fontId="67" fillId="0" borderId="2" xfId="291" applyNumberFormat="1" applyFont="1" applyBorder="1" applyAlignment="1">
      <alignment horizontal="center" vertical="center"/>
    </xf>
    <xf numFmtId="0" fontId="67" fillId="0" borderId="11" xfId="291" applyFont="1" applyBorder="1" applyAlignment="1">
      <alignment horizontal="center" vertical="center" wrapText="1"/>
    </xf>
    <xf numFmtId="0" fontId="67" fillId="0" borderId="19" xfId="291" applyFont="1" applyBorder="1" applyAlignment="1">
      <alignment horizontal="justify" vertical="center" wrapText="1"/>
    </xf>
    <xf numFmtId="168" fontId="67" fillId="0" borderId="19" xfId="291" applyNumberFormat="1" applyFont="1" applyFill="1" applyBorder="1" applyAlignment="1">
      <alignment horizontal="center" vertical="center" wrapText="1"/>
    </xf>
    <xf numFmtId="168" fontId="67" fillId="0" borderId="19" xfId="291" applyNumberFormat="1" applyFont="1" applyBorder="1" applyAlignment="1">
      <alignment horizontal="center" vertical="center" wrapText="1"/>
    </xf>
    <xf numFmtId="0" fontId="67" fillId="2" borderId="1" xfId="294" applyFont="1" applyFill="1" applyBorder="1" applyAlignment="1">
      <alignment horizontal="center" vertical="center" wrapText="1"/>
    </xf>
    <xf numFmtId="0" fontId="67" fillId="2" borderId="1" xfId="294" applyFont="1" applyFill="1" applyBorder="1" applyAlignment="1">
      <alignment horizontal="justify" vertical="center" wrapText="1"/>
    </xf>
    <xf numFmtId="168" fontId="67" fillId="0" borderId="1" xfId="294" applyNumberFormat="1" applyFont="1" applyFill="1" applyBorder="1" applyAlignment="1">
      <alignment horizontal="center" vertical="center"/>
    </xf>
    <xf numFmtId="168" fontId="67" fillId="0" borderId="1" xfId="294" applyNumberFormat="1" applyFont="1" applyBorder="1" applyAlignment="1">
      <alignment horizontal="center" vertical="center"/>
    </xf>
    <xf numFmtId="168" fontId="67" fillId="0" borderId="1" xfId="294" applyNumberFormat="1" applyFont="1" applyFill="1" applyBorder="1" applyAlignment="1">
      <alignment horizontal="center" vertical="center" wrapText="1"/>
    </xf>
    <xf numFmtId="168" fontId="67" fillId="0" borderId="1" xfId="294" applyNumberFormat="1" applyFont="1" applyBorder="1" applyAlignment="1">
      <alignment horizontal="center" vertical="center" wrapText="1"/>
    </xf>
    <xf numFmtId="49" fontId="67" fillId="0" borderId="1" xfId="292" applyNumberFormat="1" applyFont="1" applyBorder="1" applyAlignment="1">
      <alignment horizontal="center" vertical="center"/>
    </xf>
    <xf numFmtId="0" fontId="67" fillId="0" borderId="1" xfId="292" applyFont="1" applyBorder="1" applyAlignment="1">
      <alignment horizontal="justify" vertical="center" wrapText="1"/>
    </xf>
    <xf numFmtId="49" fontId="67" fillId="0" borderId="1" xfId="295" applyNumberFormat="1" applyFont="1" applyBorder="1" applyAlignment="1">
      <alignment horizontal="center" vertical="center" wrapText="1"/>
    </xf>
    <xf numFmtId="0" fontId="67" fillId="0" borderId="1" xfId="296" applyFont="1" applyBorder="1" applyAlignment="1">
      <alignment horizontal="justify" vertical="center" wrapText="1"/>
    </xf>
    <xf numFmtId="168" fontId="67" fillId="0" borderId="1" xfId="296" applyNumberFormat="1" applyFont="1" applyFill="1" applyBorder="1" applyAlignment="1">
      <alignment horizontal="center" vertical="center" wrapText="1"/>
    </xf>
    <xf numFmtId="168" fontId="67" fillId="0" borderId="1" xfId="296" applyNumberFormat="1" applyFont="1" applyBorder="1" applyAlignment="1">
      <alignment horizontal="center" vertical="center" wrapText="1"/>
    </xf>
    <xf numFmtId="0" fontId="78" fillId="0" borderId="1" xfId="296" applyFont="1" applyBorder="1" applyAlignment="1">
      <alignment horizontal="center" vertical="center"/>
    </xf>
    <xf numFmtId="0" fontId="70" fillId="0" borderId="1" xfId="291" applyFont="1" applyBorder="1" applyAlignment="1">
      <alignment horizontal="justify" vertical="center" wrapText="1"/>
    </xf>
    <xf numFmtId="168" fontId="70" fillId="0" borderId="1" xfId="291" applyNumberFormat="1" applyFont="1" applyFill="1" applyBorder="1" applyAlignment="1">
      <alignment horizontal="center" vertical="center" wrapText="1"/>
    </xf>
    <xf numFmtId="168" fontId="70" fillId="0" borderId="1" xfId="291" applyNumberFormat="1" applyFont="1" applyBorder="1" applyAlignment="1">
      <alignment horizontal="center" vertical="center" wrapText="1"/>
    </xf>
    <xf numFmtId="168" fontId="67" fillId="0" borderId="2" xfId="291" applyNumberFormat="1" applyFont="1" applyFill="1" applyBorder="1" applyAlignment="1">
      <alignment horizontal="center" vertical="center" wrapText="1"/>
    </xf>
    <xf numFmtId="168" fontId="67" fillId="0" borderId="2" xfId="291" applyNumberFormat="1" applyFont="1" applyBorder="1" applyAlignment="1">
      <alignment horizontal="center" vertical="center" wrapText="1"/>
    </xf>
    <xf numFmtId="0" fontId="72" fillId="0" borderId="2" xfId="291" applyFont="1" applyBorder="1" applyAlignment="1">
      <alignment horizontal="justify" vertical="center" wrapText="1"/>
    </xf>
    <xf numFmtId="168" fontId="72" fillId="0" borderId="2" xfId="291" applyNumberFormat="1" applyFont="1" applyFill="1" applyBorder="1" applyAlignment="1">
      <alignment horizontal="center" vertical="center" wrapText="1"/>
    </xf>
    <xf numFmtId="168" fontId="72" fillId="0" borderId="2" xfId="291" applyNumberFormat="1" applyFont="1" applyBorder="1" applyAlignment="1">
      <alignment horizontal="center" vertical="center" wrapText="1"/>
    </xf>
    <xf numFmtId="0" fontId="72" fillId="0" borderId="1" xfId="291" applyFont="1" applyBorder="1" applyAlignment="1">
      <alignment horizontal="left" vertical="center" wrapText="1"/>
    </xf>
    <xf numFmtId="168" fontId="67" fillId="0" borderId="0" xfId="290" applyNumberFormat="1" applyFont="1" applyFill="1" applyAlignment="1">
      <alignment vertical="center"/>
    </xf>
    <xf numFmtId="168" fontId="67" fillId="0" borderId="0" xfId="290" applyNumberFormat="1" applyFont="1" applyAlignment="1">
      <alignment vertical="center"/>
    </xf>
    <xf numFmtId="0" fontId="67" fillId="0" borderId="0" xfId="290" applyFont="1" applyFill="1" applyAlignment="1">
      <alignment vertical="center"/>
    </xf>
    <xf numFmtId="49" fontId="67" fillId="0" borderId="12" xfId="0" applyNumberFormat="1" applyFont="1" applyBorder="1" applyAlignment="1">
      <alignment horizontal="center" vertical="center" wrapText="1"/>
    </xf>
    <xf numFmtId="49" fontId="67" fillId="0" borderId="16" xfId="0" applyNumberFormat="1" applyFont="1" applyBorder="1" applyAlignment="1">
      <alignment horizontal="center" vertical="center" wrapText="1"/>
    </xf>
    <xf numFmtId="49" fontId="67" fillId="0" borderId="11" xfId="0" applyNumberFormat="1" applyFont="1" applyBorder="1" applyAlignment="1">
      <alignment horizontal="center" vertical="center" wrapText="1"/>
    </xf>
    <xf numFmtId="0" fontId="67" fillId="0" borderId="12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 wrapText="1"/>
    </xf>
    <xf numFmtId="0" fontId="67" fillId="0" borderId="14" xfId="0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0" fontId="67" fillId="0" borderId="1" xfId="94" applyNumberFormat="1" applyFont="1" applyFill="1" applyBorder="1" applyAlignment="1">
      <alignment horizontal="center" vertical="center" wrapText="1"/>
    </xf>
    <xf numFmtId="0" fontId="67" fillId="0" borderId="0" xfId="0" applyFont="1" applyAlignment="1">
      <alignment horizontal="right"/>
    </xf>
    <xf numFmtId="0" fontId="72" fillId="0" borderId="0" xfId="0" applyFont="1" applyAlignment="1">
      <alignment horizontal="center" wrapText="1"/>
    </xf>
    <xf numFmtId="0" fontId="67" fillId="0" borderId="0" xfId="0" applyFont="1" applyAlignment="1">
      <alignment horizontal="right" vertical="center" wrapText="1"/>
    </xf>
    <xf numFmtId="49" fontId="72" fillId="0" borderId="1" xfId="290" applyNumberFormat="1" applyFont="1" applyBorder="1" applyAlignment="1">
      <alignment horizontal="center" vertical="center" wrapText="1"/>
    </xf>
    <xf numFmtId="0" fontId="72" fillId="0" borderId="1" xfId="290" applyFont="1" applyBorder="1" applyAlignment="1">
      <alignment horizontal="center" vertical="center" wrapText="1"/>
    </xf>
    <xf numFmtId="0" fontId="67" fillId="0" borderId="0" xfId="252" applyFont="1" applyAlignment="1">
      <alignment horizontal="right" vertical="center" wrapText="1"/>
    </xf>
    <xf numFmtId="0" fontId="67" fillId="0" borderId="0" xfId="290" applyFont="1" applyAlignment="1">
      <alignment horizontal="right" vertical="center"/>
    </xf>
    <xf numFmtId="0" fontId="67" fillId="0" borderId="0" xfId="252" applyFont="1" applyAlignment="1">
      <alignment horizontal="right" vertical="center"/>
    </xf>
    <xf numFmtId="0" fontId="72" fillId="0" borderId="0" xfId="290" applyFont="1" applyAlignment="1">
      <alignment horizontal="center" vertical="center" wrapText="1"/>
    </xf>
    <xf numFmtId="0" fontId="70" fillId="0" borderId="7" xfId="12" applyNumberFormat="1" applyFont="1" applyFill="1" applyBorder="1" applyAlignment="1">
      <alignment horizontal="center" vertical="center" wrapText="1"/>
    </xf>
    <xf numFmtId="0" fontId="70" fillId="0" borderId="8" xfId="12" applyNumberFormat="1" applyFont="1" applyFill="1" applyBorder="1" applyAlignment="1">
      <alignment horizontal="center" vertical="center" wrapText="1"/>
    </xf>
    <xf numFmtId="0" fontId="70" fillId="0" borderId="9" xfId="12" applyNumberFormat="1" applyFont="1" applyFill="1" applyBorder="1" applyAlignment="1">
      <alignment horizontal="center" vertical="center" wrapText="1"/>
    </xf>
    <xf numFmtId="167" fontId="67" fillId="0" borderId="1" xfId="12" applyNumberFormat="1" applyFont="1" applyFill="1" applyBorder="1" applyAlignment="1">
      <alignment horizontal="center" wrapText="1"/>
    </xf>
    <xf numFmtId="0" fontId="70" fillId="0" borderId="0" xfId="12" applyNumberFormat="1" applyFont="1" applyFill="1" applyAlignment="1">
      <alignment horizontal="right" vertical="center" wrapText="1"/>
    </xf>
    <xf numFmtId="0" fontId="73" fillId="0" borderId="10" xfId="12" applyNumberFormat="1" applyFont="1" applyFill="1" applyBorder="1" applyAlignment="1">
      <alignment horizontal="center" vertical="center" wrapText="1"/>
    </xf>
    <xf numFmtId="167" fontId="70" fillId="0" borderId="4" xfId="12" applyNumberFormat="1" applyFont="1" applyFill="1" applyBorder="1" applyAlignment="1">
      <alignment horizontal="center" wrapText="1"/>
    </xf>
    <xf numFmtId="167" fontId="70" fillId="0" borderId="6" xfId="12" applyNumberFormat="1" applyFont="1" applyFill="1" applyBorder="1" applyAlignment="1">
      <alignment horizontal="center" wrapText="1"/>
    </xf>
    <xf numFmtId="167" fontId="70" fillId="0" borderId="5" xfId="12" applyNumberFormat="1" applyFont="1" applyFill="1" applyBorder="1" applyAlignment="1">
      <alignment horizontal="center" wrapText="1"/>
    </xf>
    <xf numFmtId="0" fontId="67" fillId="0" borderId="0" xfId="12" applyNumberFormat="1" applyFont="1" applyFill="1" applyAlignment="1">
      <alignment horizontal="right" vertical="top" wrapText="1"/>
    </xf>
    <xf numFmtId="0" fontId="72" fillId="0" borderId="0" xfId="12" applyNumberFormat="1" applyFont="1" applyFill="1" applyAlignment="1">
      <alignment horizontal="center" vertical="center" wrapText="1"/>
    </xf>
    <xf numFmtId="0" fontId="67" fillId="0" borderId="1" xfId="12" applyNumberFormat="1" applyFont="1" applyFill="1" applyBorder="1" applyAlignment="1">
      <alignment horizontal="center" vertical="center" wrapText="1"/>
    </xf>
    <xf numFmtId="0" fontId="67" fillId="0" borderId="1" xfId="12" applyNumberFormat="1" applyFont="1" applyFill="1" applyBorder="1" applyAlignment="1">
      <alignment horizontal="left" vertical="center" wrapText="1"/>
    </xf>
    <xf numFmtId="0" fontId="67" fillId="0" borderId="0" xfId="12" applyNumberFormat="1" applyFont="1" applyFill="1" applyAlignment="1">
      <alignment horizontal="right" vertical="center" wrapText="1"/>
    </xf>
    <xf numFmtId="0" fontId="67" fillId="0" borderId="3" xfId="12" applyNumberFormat="1" applyFont="1" applyFill="1" applyBorder="1" applyAlignment="1">
      <alignment horizontal="center" vertical="center" wrapText="1"/>
    </xf>
    <xf numFmtId="0" fontId="67" fillId="0" borderId="3" xfId="12" applyNumberFormat="1" applyFont="1" applyFill="1" applyBorder="1" applyAlignment="1">
      <alignment horizontal="left" vertical="center" wrapText="1"/>
    </xf>
    <xf numFmtId="0" fontId="67" fillId="0" borderId="0" xfId="13" applyNumberFormat="1" applyFont="1" applyFill="1" applyAlignment="1">
      <alignment horizontal="right" vertical="center" wrapText="1"/>
    </xf>
    <xf numFmtId="0" fontId="72" fillId="0" borderId="0" xfId="13" applyNumberFormat="1" applyFont="1" applyFill="1" applyAlignment="1">
      <alignment horizontal="center" vertical="center" wrapText="1"/>
    </xf>
    <xf numFmtId="0" fontId="67" fillId="0" borderId="3" xfId="13" applyNumberFormat="1" applyFont="1" applyFill="1" applyBorder="1" applyAlignment="1">
      <alignment horizontal="center" vertical="center" wrapText="1"/>
    </xf>
    <xf numFmtId="167" fontId="67" fillId="0" borderId="3" xfId="13" applyNumberFormat="1" applyFont="1" applyFill="1" applyBorder="1" applyAlignment="1">
      <alignment horizontal="center" vertical="center" wrapText="1"/>
    </xf>
    <xf numFmtId="0" fontId="67" fillId="0" borderId="13" xfId="287" applyFont="1" applyBorder="1" applyAlignment="1">
      <alignment horizontal="center" vertical="center" wrapText="1"/>
    </xf>
    <xf numFmtId="0" fontId="67" fillId="0" borderId="14" xfId="287" applyFont="1" applyBorder="1" applyAlignment="1">
      <alignment horizontal="center" vertical="center" wrapText="1"/>
    </xf>
    <xf numFmtId="0" fontId="67" fillId="0" borderId="2" xfId="287" applyFont="1" applyBorder="1" applyAlignment="1">
      <alignment horizontal="center" vertical="center" wrapText="1"/>
    </xf>
    <xf numFmtId="0" fontId="67" fillId="0" borderId="0" xfId="287" applyFont="1" applyAlignment="1">
      <alignment horizontal="right" wrapText="1"/>
    </xf>
    <xf numFmtId="0" fontId="72" fillId="0" borderId="0" xfId="287" applyFont="1" applyAlignment="1">
      <alignment horizontal="center"/>
    </xf>
    <xf numFmtId="0" fontId="72" fillId="0" borderId="18" xfId="287" applyFont="1" applyBorder="1" applyAlignment="1">
      <alignment horizontal="center" vertical="center"/>
    </xf>
    <xf numFmtId="0" fontId="67" fillId="0" borderId="1" xfId="287" applyFont="1" applyBorder="1" applyAlignment="1">
      <alignment horizontal="left" vertical="center" wrapText="1"/>
    </xf>
    <xf numFmtId="0" fontId="67" fillId="0" borderId="12" xfId="287" applyFont="1" applyBorder="1" applyAlignment="1">
      <alignment horizontal="center" vertical="center" wrapText="1"/>
    </xf>
    <xf numFmtId="0" fontId="67" fillId="0" borderId="16" xfId="287" applyFont="1" applyBorder="1" applyAlignment="1">
      <alignment horizontal="center" vertical="center" wrapText="1"/>
    </xf>
    <xf numFmtId="0" fontId="67" fillId="0" borderId="11" xfId="287" applyFont="1" applyBorder="1" applyAlignment="1">
      <alignment horizontal="center" vertical="center" wrapText="1"/>
    </xf>
  </cellXfs>
  <cellStyles count="297">
    <cellStyle name="Обычный" xfId="0" builtinId="0"/>
    <cellStyle name="Обычный 10" xfId="12"/>
    <cellStyle name="Обычный 10 2" xfId="94"/>
    <cellStyle name="Обычный 10 6" xfId="183"/>
    <cellStyle name="Обычный 11" xfId="13"/>
    <cellStyle name="Обычный 11 2" xfId="35"/>
    <cellStyle name="Обычный 12" xfId="24"/>
    <cellStyle name="Обычный 13" xfId="25"/>
    <cellStyle name="Обычный 13 2" xfId="22"/>
    <cellStyle name="Обычный 13 2 2" xfId="36"/>
    <cellStyle name="Обычный 13 2 2 2" xfId="63"/>
    <cellStyle name="Обычный 13 2 3" xfId="37"/>
    <cellStyle name="Обычный 13 2 4" xfId="64"/>
    <cellStyle name="Обычный 13 2 5" xfId="84"/>
    <cellStyle name="Обычный 13 3" xfId="38"/>
    <cellStyle name="Обычный 13 4" xfId="65"/>
    <cellStyle name="Обычный 14" xfId="39"/>
    <cellStyle name="Обычный 15" xfId="34"/>
    <cellStyle name="Обычный 16" xfId="127"/>
    <cellStyle name="Обычный 16 2" xfId="138"/>
    <cellStyle name="Обычный 16 2 2" xfId="141"/>
    <cellStyle name="Обычный 16 2 2 2" xfId="159"/>
    <cellStyle name="Обычный 16 2 2 2 2" xfId="162"/>
    <cellStyle name="Обычный 16 2 2 2 2 2" xfId="182"/>
    <cellStyle name="Обычный 16 2 2 2 2 2 2" xfId="207"/>
    <cellStyle name="Обычный 16 2 2 2 2 2 2 2" xfId="210"/>
    <cellStyle name="Обычный 16 2 2 2 2 2 2 2 2" xfId="272"/>
    <cellStyle name="Обычный 16 2 2 2 2 2 2 2 2 2" xfId="289"/>
    <cellStyle name="Обычный 2" xfId="1"/>
    <cellStyle name="Обычный 2 10" xfId="252"/>
    <cellStyle name="Обычный 2 2" xfId="11"/>
    <cellStyle name="Обычный 2 2 2" xfId="40"/>
    <cellStyle name="Обычный 2 2 3" xfId="66"/>
    <cellStyle name="Обычный 2 3" xfId="14"/>
    <cellStyle name="Обычный 2 3 2" xfId="41"/>
    <cellStyle name="Обычный 2 3 3" xfId="67"/>
    <cellStyle name="Обычный 2 4" xfId="15"/>
    <cellStyle name="Обычный 2 4 2" xfId="42"/>
    <cellStyle name="Обычный 2 4 3" xfId="68"/>
    <cellStyle name="Обычный 2 5" xfId="16"/>
    <cellStyle name="Обычный 2 5 2" xfId="43"/>
    <cellStyle name="Обычный 2 5 3" xfId="69"/>
    <cellStyle name="Обычный 2 6" xfId="17"/>
    <cellStyle name="Обычный 2 6 2" xfId="44"/>
    <cellStyle name="Обычный 2 6 3" xfId="70"/>
    <cellStyle name="Обычный 2 7" xfId="18"/>
    <cellStyle name="Обычный 2 7 2" xfId="45"/>
    <cellStyle name="Обычный 2 7 3" xfId="71"/>
    <cellStyle name="Обычный 2 8" xfId="21"/>
    <cellStyle name="Обычный 2 8 2" xfId="26"/>
    <cellStyle name="Обычный 2 8 2 2" xfId="32"/>
    <cellStyle name="Обычный 2 8 2 3" xfId="61"/>
    <cellStyle name="Обычный 2 8 2 3 2" xfId="86"/>
    <cellStyle name="Обычный 2 8 2 3 3" xfId="88"/>
    <cellStyle name="Обычный 2 8 2 3 3 2" xfId="91"/>
    <cellStyle name="Обычный 2 8 2 3 3 2 2" xfId="109"/>
    <cellStyle name="Обычный 2 8 2 3 3 2 2 2" xfId="116"/>
    <cellStyle name="Обычный 2 8 2 3 3 2 2 2 2" xfId="136"/>
    <cellStyle name="Обычный 2 8 2 3 3 2 2 2 2 2" xfId="139"/>
    <cellStyle name="Обычный 2 8 2 3 3 2 2 2 2 2 2" xfId="157"/>
    <cellStyle name="Обычный 2 8 2 3 3 2 2 2 2 2 2 2" xfId="160"/>
    <cellStyle name="Обычный 2 8 2 3 3 2 2 2 2 2 2 2 2" xfId="180"/>
    <cellStyle name="Обычный 2 8 2 3 3 2 2 2 2 2 2 2 2 2" xfId="205"/>
    <cellStyle name="Обычный 2 8 2 3 3 2 2 2 2 2 2 2 2 2 2" xfId="208"/>
    <cellStyle name="Обычный 2 8 2 3 3 2 2 2 2 2 2 2 2 2 2 2" xfId="270"/>
    <cellStyle name="Обычный 2 8 2 3 3 2 2 2 2 2 2 2 2 2 2 2 2" xfId="287"/>
    <cellStyle name="Обычный 2 8 2 3 3 3" xfId="95"/>
    <cellStyle name="Обычный 2 8 2 3 3 3 2" xfId="96"/>
    <cellStyle name="Обычный 2 8 2 3 3 3 2 2" xfId="98"/>
    <cellStyle name="Обычный 2 8 2 3 3 3 2 2 2" xfId="100"/>
    <cellStyle name="Обычный 2 8 2 3 3 3 2 2 2 2" xfId="103"/>
    <cellStyle name="Обычный 2 8 2 3 3 3 2 2 2 3" xfId="106"/>
    <cellStyle name="Обычный 2 8 2 3 3 3 2 2 2 3 2" xfId="111"/>
    <cellStyle name="Обычный 2 8 2 3 3 3 2 2 2 3 2 2" xfId="113"/>
    <cellStyle name="Обычный 2 8 2 3 3 3 2 2 2 3 2 2 2" xfId="118"/>
    <cellStyle name="Обычный 2 8 2 3 3 3 2 2 2 3 2 2 2 2" xfId="121"/>
    <cellStyle name="Обычный 2 8 2 3 3 3 2 2 2 3 2 2 2 2 2" xfId="124"/>
    <cellStyle name="Обычный 2 8 2 3 3 3 2 2 2 3 2 2 2 2 2 3" xfId="134"/>
    <cellStyle name="Обычный 2 8 2 3 3 3 2 2 2 3 2 2 2 2 2 3 4 3" xfId="149"/>
    <cellStyle name="Обычный 2 8 2 3 3 3 2 2 2 3 2 2 2 2 2 3 4 3 2" xfId="155"/>
    <cellStyle name="Обычный 2 8 2 3 3 3 2 2 2 3 2 2 2 2 2 3 4 3 2 2" xfId="167"/>
    <cellStyle name="Обычный 2 8 2 3 3 3 2 2 2 3 2 2 2 2 2 3 4 3 2 3" xfId="173"/>
    <cellStyle name="Обычный 2 8 2 3 3 3 2 2 2 3 2 2 2 2 2 3 4 3 2 3 2" xfId="192"/>
    <cellStyle name="Обычный 2 8 2 3 3 3 2 2 2 3 2 2 2 2 2 3 4 3 2 3 2 2" xfId="197"/>
    <cellStyle name="Обычный 2 8 2 3 3 3 2 2 2 3 2 2 2 2 2 3 4 3 2 3 2 2 2" xfId="203"/>
    <cellStyle name="Обычный 2 8 2 3 3 3 2 2 2 3 2 2 2 2 2 3 4 3 2 3 2 2 2 2" xfId="214"/>
    <cellStyle name="Обычный 2 8 2 3 3 3 2 2 2 3 2 2 2 2 2 3 4 3 2 3 2 2 2 3" xfId="219"/>
    <cellStyle name="Обычный 2 8 2 3 3 3 2 2 2 3 2 2 2 2 2 3 4 3 2 3 2 2 2 3 2" xfId="225"/>
    <cellStyle name="Обычный 2 8 2 3 3 3 2 2 2 3 2 2 2 2 2 3 4 3 2 3 2 2 2 3 3" xfId="231"/>
    <cellStyle name="Обычный 2 8 2 3 3 3 2 2 2 3 2 2 2 2 2 3 4 3 2 3 2 2 2 3 4" xfId="237"/>
    <cellStyle name="Обычный 2 8 2 3 3 3 2 2 2 3 2 2 2 2 2 3 4 3 2 3 2 2 2 3 5" xfId="243"/>
    <cellStyle name="Обычный 2 8 2 3 3 3 2 2 2 3 2 2 2 2 2 3 4 3 2 3 2 2 2 3 6" xfId="249"/>
    <cellStyle name="Обычный 2 8 2 3 3 3 2 2 2 3 2 2 2 2 2 3 4 3 2 3 2 2 2 3 6 2" xfId="257"/>
    <cellStyle name="Обычный 2 8 2 3 3 3 2 2 2 3 2 2 2 2 2 3 4 3 2 3 2 2 2 3 6 2 2" xfId="263"/>
    <cellStyle name="Обычный 2 8 2 3 3 3 2 2 2 3 2 2 2 2 2 3 4 3 2 3 2 2 2 3 6 2 3" xfId="269"/>
    <cellStyle name="Обычный 2 8 2 3 3 3 2 2 2 3 2 2 2 2 2 3 4 3 2 3 2 2 2 3 6 2 3 2" xfId="279"/>
    <cellStyle name="Обычный 2 8 2 3 3 3 2 2 2 3 2 2 2 2 2 3 4 3 2 3 2 2 2 3 6 2 3 3" xfId="286"/>
    <cellStyle name="Обычный 2 8 2 3 3 3 2 2 2 3 2 2 2 2 2 3 4 3 2 3 2 2 2 3 6 2 3 4" xfId="296"/>
    <cellStyle name="Обычный 2 8 2 3 3 3 2 2 2 3 2 2 2 2 2 3 4 3 2 4" xfId="177"/>
    <cellStyle name="Обычный 2 8 2 3 3 3 2 2 2 3 2 2 2 2 2 3 4 3 2 4 2" xfId="190"/>
    <cellStyle name="Обычный 2 8 2 3 3 3 2 2 2 3 2 2 2 2 2 3 4 3 3" xfId="179"/>
    <cellStyle name="Обычный 2 8 2 3 3 3 2 2 2 3 2 2 2 2 2 3 4 3 3 2" xfId="194"/>
    <cellStyle name="Обычный 2 8 2 3 3 3 2 2 2 3 2 2 2 2 3" xfId="128"/>
    <cellStyle name="Обычный 2 8 2 3 3 3 2 2 2 3 2 2 2 2 4" xfId="131"/>
    <cellStyle name="Обычный 2 8 2 3 3 3 2 2 2 3 2 2 2 2 4 2" xfId="142"/>
    <cellStyle name="Обычный 2 8 2 3 3 3 2 2 2 3 2 2 2 2 4 3" xfId="145"/>
    <cellStyle name="Обычный 2 8 2 3 3 3 2 2 2 3 2 2 2 2 4 3 2" xfId="151"/>
    <cellStyle name="Обычный 2 8 2 3 3 3 2 2 2 3 2 2 2 2 4 3 2 2" xfId="163"/>
    <cellStyle name="Обычный 2 8 2 3 3 3 2 2 2 3 2 2 2 2 4 3 2 3" xfId="169"/>
    <cellStyle name="Обычный 2 8 2 3 3 3 2 2 2 3 2 2 2 2 4 3 2 3 2" xfId="184"/>
    <cellStyle name="Обычный 2 8 2 3 3 3 2 2 2 3 2 2 2 2 4 3 2 3 2 2" xfId="195"/>
    <cellStyle name="Обычный 2 8 2 3 3 3 2 2 2 3 2 2 2 2 4 3 2 3 2 2 2" xfId="200"/>
    <cellStyle name="Обычный 2 8 2 3 3 3 2 2 2 3 2 2 2 2 4 3 2 3 2 2 2 2" xfId="211"/>
    <cellStyle name="Обычный 2 8 2 3 3 3 2 2 2 3 2 2 2 2 4 3 2 3 2 2 2 3" xfId="216"/>
    <cellStyle name="Обычный 2 8 2 3 3 3 2 2 2 3 2 2 2 2 4 3 2 3 2 2 2 3 2" xfId="222"/>
    <cellStyle name="Обычный 2 8 2 3 3 3 2 2 2 3 2 2 2 2 4 3 2 3 2 2 2 3 2 2" xfId="229"/>
    <cellStyle name="Обычный 2 8 2 3 3 3 2 2 2 3 2 2 2 2 4 3 2 3 2 2 2 3 2 2 2" xfId="235"/>
    <cellStyle name="Обычный 2 8 2 3 3 3 2 2 2 3 2 2 2 2 4 3 2 3 2 2 2 3 2 2 3" xfId="241"/>
    <cellStyle name="Обычный 2 8 2 3 3 3 2 2 2 3 2 2 2 2 4 3 2 3 2 2 2 3 2 2 4" xfId="247"/>
    <cellStyle name="Обычный 2 8 2 3 3 3 2 2 2 3 2 2 2 2 4 3 2 3 2 2 2 3 2 2 4 2" xfId="255"/>
    <cellStyle name="Обычный 2 8 2 3 3 3 2 2 2 3 2 2 2 2 4 3 2 3 2 2 2 3 2 2 4 2 2" xfId="261"/>
    <cellStyle name="Обычный 2 8 2 3 3 3 2 2 2 3 2 2 2 2 4 3 2 3 2 2 2 3 2 2 4 2 3" xfId="267"/>
    <cellStyle name="Обычный 2 8 2 3 3 3 2 2 2 3 2 2 2 2 4 3 2 3 2 2 2 3 2 2 4 2 3 2" xfId="277"/>
    <cellStyle name="Обычный 2 8 2 3 3 3 2 2 2 3 2 2 2 2 4 3 2 3 2 2 2 3 2 2 4 2 3 3" xfId="284"/>
    <cellStyle name="Обычный 2 8 2 3 3 3 2 2 2 3 2 2 2 2 4 3 2 3 2 2 2 3 2 2 4 2 3 4" xfId="294"/>
    <cellStyle name="Обычный 2 8 2 3 3 3 2 2 2 3 2 2 2 2 4 3 2 3 2 2 2 3 3" xfId="227"/>
    <cellStyle name="Обычный 2 8 2 3 3 3 2 2 2 3 2 2 2 2 4 3 2 3 2 2 2 3 4" xfId="233"/>
    <cellStyle name="Обычный 2 8 2 3 3 3 2 2 2 3 2 2 2 2 4 3 2 3 2 2 2 3 5" xfId="239"/>
    <cellStyle name="Обычный 2 8 2 3 3 3 2 2 2 3 2 2 2 2 4 3 2 3 2 2 2 3 6" xfId="245"/>
    <cellStyle name="Обычный 2 8 2 3 3 3 2 2 2 3 2 2 2 2 4 3 2 3 2 2 2 3 6 2" xfId="253"/>
    <cellStyle name="Обычный 2 8 2 3 3 3 2 2 2 3 2 2 2 2 4 3 2 3 2 2 2 3 6 2 2" xfId="259"/>
    <cellStyle name="Обычный 2 8 2 3 3 3 2 2 2 3 2 2 2 2 4 3 2 3 2 2 2 3 6 2 2 2" xfId="276"/>
    <cellStyle name="Обычный 2 8 2 3 3 3 2 2 2 3 2 2 2 2 4 3 2 3 2 2 2 3 6 2 2 3" xfId="283"/>
    <cellStyle name="Обычный 2 8 2 3 3 3 2 2 2 3 2 2 2 2 4 3 2 3 2 2 2 3 6 2 2 4" xfId="293"/>
    <cellStyle name="Обычный 2 8 2 3 3 3 2 2 2 3 2 2 2 2 4 3 2 3 2 2 2 3 6 2 3" xfId="265"/>
    <cellStyle name="Обычный 2 8 2 3 3 3 2 2 2 3 2 2 2 2 4 3 2 3 2 2 2 3 6 2 3 2" xfId="274"/>
    <cellStyle name="Обычный 2 8 2 3 3 3 2 2 2 3 2 2 2 2 4 3 2 3 2 2 2 3 6 2 3 3" xfId="281"/>
    <cellStyle name="Обычный 2 8 2 3 3 3 2 2 2 3 2 2 2 2 4 3 2 3 2 2 2 3 6 2 3 4" xfId="291"/>
    <cellStyle name="Обычный 2 8 2 3 3 3 2 2 2 3 2 2 2 2 4 3 2 3 2 2 2 3 7" xfId="251"/>
    <cellStyle name="Обычный 2 8 2 3 3 3 2 2 2 3 2 2 2 2 4 3 2 3 2 2 2 3 7 2" xfId="258"/>
    <cellStyle name="Обычный 2 8 2 3 3 3 2 2 2 3 2 2 2 2 4 3 2 3 2 2 2 3 7 3" xfId="264"/>
    <cellStyle name="Обычный 2 8 2 3 3 3 2 2 2 3 2 2 2 2 4 3 2 3 2 2 2 3 7 3 2" xfId="273"/>
    <cellStyle name="Обычный 2 8 2 3 3 3 2 2 2 3 2 2 2 2 4 3 2 3 2 2 2 3 7 3 3" xfId="280"/>
    <cellStyle name="Обычный 2 8 2 3 3 3 2 2 2 3 2 2 2 2 4 3 2 3 2 2 2 3 7 3 4" xfId="290"/>
    <cellStyle name="Обычный 2 8 2 3 3 3 2 2 2 3 2 2 2 2 4 3 2 4" xfId="175"/>
    <cellStyle name="Обычный 2 8 2 3 3 3 2 2 2 3 2 2 2 2 4 3 2 4 2" xfId="186"/>
    <cellStyle name="Обычный 2 8 2 3 3 3 2 2 2 3 2 2 2 2 4 5 3" xfId="150"/>
    <cellStyle name="Обычный 2 8 2 3 3 3 2 2 2 3 2 2 2 2 4 5 3 2" xfId="156"/>
    <cellStyle name="Обычный 2 8 2 3 3 3 2 2 2 3 2 2 2 2 4 5 3 2 2" xfId="168"/>
    <cellStyle name="Обычный 2 8 2 3 3 3 2 2 2 3 2 2 2 2 4 5 3 2 3" xfId="174"/>
    <cellStyle name="Обычный 2 8 2 3 3 3 2 2 2 3 2 2 2 2 4 5 3 2 3 2" xfId="193"/>
    <cellStyle name="Обычный 2 8 2 3 3 3 2 2 2 3 2 2 2 2 4 5 3 2 3 2 2" xfId="196"/>
    <cellStyle name="Обычный 2 8 2 3 3 3 2 2 2 3 2 2 2 2 4 5 3 2 3 2 2 2" xfId="204"/>
    <cellStyle name="Обычный 2 8 2 3 3 3 2 2 2 3 2 2 2 2 4 5 3 2 3 2 2 2 2" xfId="215"/>
    <cellStyle name="Обычный 2 8 2 3 3 3 2 2 2 3 2 2 2 2 4 5 3 2 3 2 2 2 3" xfId="220"/>
    <cellStyle name="Обычный 2 8 2 3 3 3 2 2 2 3 2 2 2 2 4 5 3 2 3 2 2 2 3 2" xfId="226"/>
    <cellStyle name="Обычный 2 8 2 3 3 3 2 2 2 3 2 2 2 2 4 5 3 2 3 2 2 2 3 3" xfId="232"/>
    <cellStyle name="Обычный 2 8 2 3 3 3 2 2 2 3 2 2 2 2 4 5 3 2 3 2 2 2 3 4" xfId="238"/>
    <cellStyle name="Обычный 2 8 2 3 3 3 2 2 2 3 2 2 2 2 4 5 3 2 3 2 2 2 3 5" xfId="244"/>
    <cellStyle name="Обычный 2 8 2 3 3 3 2 2 2 3 2 2 2 2 4 5 3 2 3 2 2 2 3 6" xfId="250"/>
    <cellStyle name="Обычный 2 8 2 3 3 3 2 2 2 3 2 2 2 2 4 5 3 3" xfId="178"/>
    <cellStyle name="Обычный 2 8 2 3 3 3 2 2 2 3 2 2 2 2 4 5 3 3 2" xfId="187"/>
    <cellStyle name="Обычный 2 8 2 3 3 3 2 2 2 3 2 2 2 2 4 5 3 3 3" xfId="221"/>
    <cellStyle name="Обычный 2 8 2 3 3 3 2 2 3" xfId="115"/>
    <cellStyle name="Обычный 2 8 2 3 3 3 2 2 3 2" xfId="120"/>
    <cellStyle name="Обычный 2 8 2 3 3 3 2 2 3 2 2" xfId="123"/>
    <cellStyle name="Обычный 2 8 2 3 3 3 2 2 3 2 2 2" xfId="126"/>
    <cellStyle name="Обычный 2 8 2 3 3 3 2 2 3 2 2 2 3" xfId="135"/>
    <cellStyle name="Обычный 2 8 2 3 3 3 2 2 3 2 2 2 3 4 3" xfId="148"/>
    <cellStyle name="Обычный 2 8 2 3 3 3 2 2 3 2 2 2 3 4 3 2" xfId="154"/>
    <cellStyle name="Обычный 2 8 2 3 3 3 2 2 3 2 2 2 3 4 3 2 2" xfId="166"/>
    <cellStyle name="Обычный 2 8 2 3 3 3 2 2 3 2 2 2 3 4 3 2 3" xfId="172"/>
    <cellStyle name="Обычный 2 8 2 3 3 3 2 2 3 2 2 2 3 4 3 2 3 2" xfId="191"/>
    <cellStyle name="Обычный 2 8 2 3 3 3 2 2 3 2 2 2 3 4 3 2 3 2 2" xfId="199"/>
    <cellStyle name="Обычный 2 8 2 3 3 3 2 2 3 2 2 2 3 4 3 2 3 2 2 2" xfId="202"/>
    <cellStyle name="Обычный 2 8 2 3 3 3 2 2 3 2 2 2 3 4 3 2 3 2 2 3" xfId="213"/>
    <cellStyle name="Обычный 2 8 2 3 3 3 2 2 3 2 2 2 3 4 3 2 3 2 2 4" xfId="218"/>
    <cellStyle name="Обычный 2 8 2 3 3 3 2 2 3 2 2 2 3 4 3 2 3 2 2 4 2" xfId="224"/>
    <cellStyle name="Обычный 2 8 2 3 3 3 2 2 3 2 2 2 3 4 3 2 3 2 2 4 3" xfId="230"/>
    <cellStyle name="Обычный 2 8 2 3 3 3 2 2 3 2 2 2 3 4 3 2 3 2 2 4 4" xfId="236"/>
    <cellStyle name="Обычный 2 8 2 3 3 3 2 2 3 2 2 2 3 4 3 2 3 2 2 4 5" xfId="242"/>
    <cellStyle name="Обычный 2 8 2 3 3 3 2 2 3 2 2 2 3 4 3 2 3 2 2 4 6" xfId="248"/>
    <cellStyle name="Обычный 2 8 2 3 3 3 2 2 3 2 2 2 3 4 3 2 3 2 2 4 6 2" xfId="256"/>
    <cellStyle name="Обычный 2 8 2 3 3 3 2 2 3 2 2 2 3 4 3 2 3 2 2 4 6 2 2" xfId="262"/>
    <cellStyle name="Обычный 2 8 2 3 3 3 2 2 3 2 2 2 3 4 3 2 3 2 2 4 6 2 3" xfId="268"/>
    <cellStyle name="Обычный 2 8 2 3 3 3 2 2 3 2 2 2 3 4 3 2 3 2 2 4 6 2 3 2" xfId="278"/>
    <cellStyle name="Обычный 2 8 2 3 3 3 2 2 3 2 2 2 3 4 3 2 3 2 2 4 6 2 3 3" xfId="285"/>
    <cellStyle name="Обычный 2 8 2 3 3 3 2 2 3 2 2 2 3 4 3 2 3 2 2 4 6 2 3 4" xfId="295"/>
    <cellStyle name="Обычный 2 8 2 3 3 3 2 2 3 2 2 2 3 4 3 2 4" xfId="176"/>
    <cellStyle name="Обычный 2 8 2 3 3 3 2 2 3 2 2 2 3 4 3 2 4 2" xfId="189"/>
    <cellStyle name="Обычный 2 8 2 3 3 3 2 2 3 2 2 3" xfId="130"/>
    <cellStyle name="Обычный 2 8 2 3 3 3 2 2 3 2 2 4" xfId="133"/>
    <cellStyle name="Обычный 2 8 2 3 3 3 2 2 3 2 2 4 2" xfId="144"/>
    <cellStyle name="Обычный 2 8 2 3 3 3 2 2 3 2 2 4 3" xfId="147"/>
    <cellStyle name="Обычный 2 8 2 3 3 3 2 2 3 2 2 4 3 2" xfId="153"/>
    <cellStyle name="Обычный 2 8 2 3 3 3 2 2 3 2 2 4 3 2 2" xfId="165"/>
    <cellStyle name="Обычный 2 8 2 3 3 3 2 2 3 2 2 4 3 2 3" xfId="171"/>
    <cellStyle name="Обычный 2 8 2 3 3 3 2 2 3 2 2 4 3 2 3 2" xfId="188"/>
    <cellStyle name="Обычный 2 8 3" xfId="27"/>
    <cellStyle name="Обычный 2 8 3 2" xfId="46"/>
    <cellStyle name="Обычный 2 8 3 3" xfId="72"/>
    <cellStyle name="Обычный 2 8 4" xfId="28"/>
    <cellStyle name="Обычный 2 8 4 2" xfId="47"/>
    <cellStyle name="Обычный 2 8 4 3" xfId="73"/>
    <cellStyle name="Обычный 2 8 5" xfId="29"/>
    <cellStyle name="Обычный 2 8 5 2" xfId="48"/>
    <cellStyle name="Обычный 2 8 5 3" xfId="74"/>
    <cellStyle name="Обычный 2 8 6" xfId="49"/>
    <cellStyle name="Обычный 2 8 6 2" xfId="75"/>
    <cellStyle name="Обычный 2 8 7" xfId="31"/>
    <cellStyle name="Обычный 2 8 7 2" xfId="33"/>
    <cellStyle name="Обычный 2 8 7 3" xfId="62"/>
    <cellStyle name="Обычный 2 8 7 3 2" xfId="87"/>
    <cellStyle name="Обычный 2 8 7 3 3" xfId="89"/>
    <cellStyle name="Обычный 2 8 7 3 3 2" xfId="92"/>
    <cellStyle name="Обычный 2 8 7 3 3 3 2 2" xfId="102"/>
    <cellStyle name="Обычный 2 8 7 3 3 3 2 2 2" xfId="105"/>
    <cellStyle name="Обычный 2 8 7 3 3 3 2 2 3" xfId="108"/>
    <cellStyle name="Обычный 2 8 7 4" xfId="97"/>
    <cellStyle name="Обычный 2 8 7 4 2" xfId="99"/>
    <cellStyle name="Обычный 2 8 7 4 2 2" xfId="101"/>
    <cellStyle name="Обычный 2 8 7 4 2 2 2" xfId="104"/>
    <cellStyle name="Обычный 2 8 7 4 2 2 3" xfId="107"/>
    <cellStyle name="Обычный 2 8 7 4 2 2 3 2" xfId="112"/>
    <cellStyle name="Обычный 2 8 7 4 2 2 3 2 2" xfId="114"/>
    <cellStyle name="Обычный 2 8 7 4 2 2 3 2 2 2" xfId="119"/>
    <cellStyle name="Обычный 2 8 7 4 2 2 3 2 2 2 2" xfId="122"/>
    <cellStyle name="Обычный 2 8 7 4 2 2 3 2 2 2 2 2" xfId="125"/>
    <cellStyle name="Обычный 2 8 7 4 2 2 3 2 2 2 2 3" xfId="129"/>
    <cellStyle name="Обычный 2 8 7 4 2 2 3 2 2 2 2 4" xfId="132"/>
    <cellStyle name="Обычный 2 8 7 4 2 2 3 2 2 2 2 4 2" xfId="143"/>
    <cellStyle name="Обычный 2 8 7 4 2 2 3 2 2 2 2 4 3" xfId="146"/>
    <cellStyle name="Обычный 2 8 7 4 2 2 3 2 2 2 2 4 3 2" xfId="152"/>
    <cellStyle name="Обычный 2 8 7 4 2 2 3 2 2 2 2 4 3 2 2" xfId="164"/>
    <cellStyle name="Обычный 2 8 7 4 2 2 3 2 2 2 2 4 3 2 3" xfId="170"/>
    <cellStyle name="Обычный 2 8 7 4 2 2 3 2 2 2 2 4 3 2 3 2" xfId="185"/>
    <cellStyle name="Обычный 2 8 7 4 2 2 3 2 2 2 2 4 3 2 3 2 2" xfId="198"/>
    <cellStyle name="Обычный 2 8 7 4 2 2 3 2 2 2 2 4 3 2 3 2 2 2" xfId="201"/>
    <cellStyle name="Обычный 2 8 7 4 2 2 3 2 2 2 2 4 3 2 3 2 2 2 2" xfId="212"/>
    <cellStyle name="Обычный 2 8 7 4 2 2 3 2 2 2 2 4 3 2 3 2 2 2 3" xfId="217"/>
    <cellStyle name="Обычный 2 8 7 4 2 2 3 2 2 2 2 4 3 2 3 2 2 2 3 2" xfId="223"/>
    <cellStyle name="Обычный 2 8 7 4 2 2 3 2 2 2 2 4 3 2 3 2 2 2 3 3" xfId="228"/>
    <cellStyle name="Обычный 2 8 7 4 2 2 3 2 2 2 2 4 3 2 3 2 2 2 3 4" xfId="234"/>
    <cellStyle name="Обычный 2 8 7 4 2 2 3 2 2 2 2 4 3 2 3 2 2 2 3 5" xfId="240"/>
    <cellStyle name="Обычный 2 8 7 4 2 2 3 2 2 2 2 4 3 2 3 2 2 2 3 6" xfId="246"/>
    <cellStyle name="Обычный 2 8 7 4 2 2 3 2 2 2 2 4 3 2 3 2 2 2 3 6 2" xfId="254"/>
    <cellStyle name="Обычный 2 8 7 4 2 2 3 2 2 2 2 4 3 2 3 2 2 2 3 6 2 2" xfId="260"/>
    <cellStyle name="Обычный 2 8 7 4 2 2 3 2 2 2 2 4 3 2 3 2 2 2 3 6 2 3" xfId="266"/>
    <cellStyle name="Обычный 2 8 7 4 2 2 3 2 2 2 2 4 3 2 3 2 2 2 3 6 2 3 2" xfId="275"/>
    <cellStyle name="Обычный 2 8 7 4 2 2 3 2 2 2 2 4 3 2 3 2 2 2 3 6 2 3 3" xfId="282"/>
    <cellStyle name="Обычный 2 8 7 4 2 2 3 2 2 2 2 4 3 2 3 2 2 2 3 6 2 3 4" xfId="292"/>
    <cellStyle name="Обычный 2 8 8" xfId="50"/>
    <cellStyle name="Обычный 2 8 9" xfId="76"/>
    <cellStyle name="Обычный 2 9" xfId="51"/>
    <cellStyle name="Обычный 3" xfId="2"/>
    <cellStyle name="Обычный 3 2" xfId="52"/>
    <cellStyle name="Обычный 4" xfId="3"/>
    <cellStyle name="Обычный 4 2" xfId="9"/>
    <cellStyle name="Обычный 4 2 2" xfId="19"/>
    <cellStyle name="Обычный 4 2 2 2" xfId="20"/>
    <cellStyle name="Обычный 4 2 2 2 2" xfId="53"/>
    <cellStyle name="Обычный 4 2 2 2 3" xfId="77"/>
    <cellStyle name="Обычный 4 2 2 3" xfId="54"/>
    <cellStyle name="Обычный 4 2 2 4" xfId="78"/>
    <cellStyle name="Обычный 4 2 3" xfId="30"/>
    <cellStyle name="Обычный 4 2 3 2" xfId="23"/>
    <cellStyle name="Обычный 4 2 3 2 2" xfId="55"/>
    <cellStyle name="Обычный 4 2 3 2 2 2" xfId="79"/>
    <cellStyle name="Обычный 4 2 3 2 3" xfId="56"/>
    <cellStyle name="Обычный 4 2 3 2 4" xfId="80"/>
    <cellStyle name="Обычный 4 2 3 2 5" xfId="85"/>
    <cellStyle name="Обычный 4 2 3 3" xfId="57"/>
    <cellStyle name="Обычный 4 2 3 4" xfId="81"/>
    <cellStyle name="Обычный 4 2 4" xfId="58"/>
    <cellStyle name="Обычный 4 2 5" xfId="82"/>
    <cellStyle name="Обычный 4 2 6" xfId="93"/>
    <cellStyle name="Обычный 4 2 6 2" xfId="110"/>
    <cellStyle name="Обычный 4 2 6 2 2" xfId="117"/>
    <cellStyle name="Обычный 4 2 6 2 2 2" xfId="137"/>
    <cellStyle name="Обычный 4 2 6 2 2 2 2" xfId="140"/>
    <cellStyle name="Обычный 4 2 6 2 2 2 2 2" xfId="158"/>
    <cellStyle name="Обычный 4 2 6 2 2 2 2 2 2" xfId="161"/>
    <cellStyle name="Обычный 4 2 6 2 2 2 2 2 2 2" xfId="181"/>
    <cellStyle name="Обычный 4 2 6 2 2 2 2 2 2 2 2" xfId="206"/>
    <cellStyle name="Обычный 4 2 6 2 2 2 2 2 2 2 2 2" xfId="209"/>
    <cellStyle name="Обычный 4 2 6 2 2 2 2 2 2 2 2 2 2" xfId="271"/>
    <cellStyle name="Обычный 4 2 6 2 2 2 2 2 2 2 2 2 2 2" xfId="288"/>
    <cellStyle name="Обычный 4 3" xfId="59"/>
    <cellStyle name="Обычный 4 4" xfId="83"/>
    <cellStyle name="Обычный 5" xfId="5"/>
    <cellStyle name="Обычный 6" xfId="6"/>
    <cellStyle name="Обычный 7" xfId="7"/>
    <cellStyle name="Обычный 8" xfId="8"/>
    <cellStyle name="Обычный 9" xfId="10"/>
    <cellStyle name="Финансовый [0] 2" xfId="90"/>
    <cellStyle name="Финансовый 2" xfId="4"/>
    <cellStyle name="Финансовый 2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0;&#1059;&#1052;&#1045;&#1053;&#1058;&#1067;%20&#1044;&#1048;&#1057;&#1050;%20F/2026%20&#1075;&#1086;&#1076;%20-%20&#1059;&#1058;&#1054;&#1063;&#1053;&#1045;&#1053;&#1048;&#1045;%20&#1073;&#1102;&#1076;&#1078;&#1077;&#1090;&#1072;/4%20&#1091;&#1090;&#1086;&#1095;&#1085;&#1077;&#1085;&#1080;&#1077;/&#1052;&#1080;&#1085;&#1092;&#1080;&#1085;/&#1055;&#1088;&#1086;&#1077;&#1082;&#1090;%20&#1088;&#1077;&#1096;&#1077;&#1085;&#1080;&#1103;%20&#1087;&#1086;%20&#1080;&#1079;&#1084;&#1077;&#1085;&#1077;&#1085;&#1080;&#1103;&#1084;%20&#1074;%20&#1073;&#1102;&#1076;&#1078;&#1077;&#1090;/&#1055;&#1088;&#1080;&#1083;&#1086;&#1078;&#1077;&#1085;&#1080;&#1077;%20&#1082;%20&#1087;&#1080;&#1089;&#1100;&#1084;&#1091;/&#1055;&#1088;&#1086;&#1077;&#1082;&#1090;%20&#1088;&#1077;&#1096;&#1077;&#1085;&#1080;&#1103;/&#1087;&#1088;&#1080;&#1083;&#1086;&#107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0;&#1059;&#1052;&#1045;&#1053;&#1058;&#1067;%20&#1044;&#1048;&#1057;&#1050;%20F/2026%20&#1075;&#1086;&#1076;%20-%20&#1059;&#1058;&#1054;&#1063;&#1053;&#1045;&#1053;&#1048;&#1045;%20&#1073;&#1102;&#1076;&#1078;&#1077;&#1090;&#1072;/&#8470;%2029%20&#1086;&#1090;%2023.12.2025/&#1087;&#1088;&#1080;&#1083;&#1086;&#1078;&#1077;&#1085;&#1080;&#1103;%20&#1082;%20&#1088;&#1077;&#1096;&#1077;&#1085;&#1080;&#1102;%20&#1058;&#1043;&#1044;%20&#8470;2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№ 1 источ "/>
      <sheetName val="№ 2 дох."/>
      <sheetName val="№ 3 р.п"/>
      <sheetName val="№ 4 ведом"/>
      <sheetName val=" № 5  рп, кцср, квр"/>
      <sheetName val="№ 6 МП"/>
      <sheetName val="№ 8 АИП"/>
    </sheetNames>
    <sheetDataSet>
      <sheetData sheetId="0"/>
      <sheetData sheetId="1"/>
      <sheetData sheetId="2"/>
      <sheetData sheetId="3">
        <row r="220">
          <cell r="F220">
            <v>1395.3000000000002</v>
          </cell>
          <cell r="G220">
            <v>6500</v>
          </cell>
        </row>
        <row r="303">
          <cell r="F303">
            <v>1072.0999999999999</v>
          </cell>
        </row>
        <row r="742">
          <cell r="F742">
            <v>11043.7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№ 1 источ "/>
      <sheetName val="№ 2 дох"/>
      <sheetName val="№ 3 р.п"/>
      <sheetName val="№ 4 ведом"/>
      <sheetName val=" № 5  рп, кцср, квр"/>
      <sheetName val="№ 6 МП"/>
      <sheetName val="№ 7 ПО "/>
      <sheetName val="№ 8 АИП"/>
      <sheetName val="№ 9 ПЗ"/>
    </sheetNames>
    <sheetDataSet>
      <sheetData sheetId="0" refreshError="1"/>
      <sheetData sheetId="1" refreshError="1"/>
      <sheetData sheetId="2" refreshError="1"/>
      <sheetData sheetId="3">
        <row r="615">
          <cell r="G615">
            <v>5521.9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8"/>
  <sheetViews>
    <sheetView view="pageBreakPreview" zoomScaleSheetLayoutView="100" workbookViewId="0">
      <selection activeCell="A4" sqref="A4:E4"/>
    </sheetView>
  </sheetViews>
  <sheetFormatPr defaultColWidth="9.140625" defaultRowHeight="15.75"/>
  <cols>
    <col min="1" max="1" width="30.5703125" style="40" customWidth="1"/>
    <col min="2" max="2" width="51.5703125" style="40" customWidth="1"/>
    <col min="3" max="3" width="13.5703125" style="53" customWidth="1"/>
    <col min="4" max="5" width="12.5703125" style="54" bestFit="1" customWidth="1"/>
    <col min="6" max="16384" width="9.140625" style="40"/>
  </cols>
  <sheetData>
    <row r="1" spans="1:5">
      <c r="A1" s="270" t="s">
        <v>233</v>
      </c>
      <c r="B1" s="270"/>
      <c r="C1" s="270"/>
      <c r="D1" s="270"/>
      <c r="E1" s="270"/>
    </row>
    <row r="2" spans="1:5">
      <c r="A2" s="270" t="s">
        <v>259</v>
      </c>
      <c r="B2" s="270"/>
      <c r="C2" s="270"/>
      <c r="D2" s="270"/>
      <c r="E2" s="270"/>
    </row>
    <row r="3" spans="1:5">
      <c r="A3" s="270" t="s">
        <v>408</v>
      </c>
      <c r="B3" s="270"/>
      <c r="C3" s="270"/>
      <c r="D3" s="270"/>
      <c r="E3" s="270"/>
    </row>
    <row r="4" spans="1:5" ht="37.5" customHeight="1">
      <c r="A4" s="272" t="s">
        <v>831</v>
      </c>
      <c r="B4" s="272"/>
      <c r="C4" s="272"/>
      <c r="D4" s="272"/>
      <c r="E4" s="272"/>
    </row>
    <row r="5" spans="1:5">
      <c r="A5" s="87"/>
      <c r="B5" s="87"/>
      <c r="C5" s="87"/>
      <c r="D5" s="87"/>
      <c r="E5" s="87"/>
    </row>
    <row r="6" spans="1:5">
      <c r="A6" s="271" t="s">
        <v>234</v>
      </c>
      <c r="B6" s="271"/>
      <c r="C6" s="271"/>
      <c r="D6" s="271"/>
      <c r="E6" s="271"/>
    </row>
    <row r="7" spans="1:5">
      <c r="A7" s="271" t="s">
        <v>323</v>
      </c>
      <c r="B7" s="271"/>
      <c r="C7" s="271"/>
      <c r="D7" s="271"/>
      <c r="E7" s="271"/>
    </row>
    <row r="9" spans="1:5">
      <c r="A9" s="260" t="s">
        <v>235</v>
      </c>
      <c r="B9" s="263" t="s">
        <v>18</v>
      </c>
      <c r="C9" s="266" t="s">
        <v>87</v>
      </c>
      <c r="D9" s="267"/>
      <c r="E9" s="268"/>
    </row>
    <row r="10" spans="1:5">
      <c r="A10" s="261"/>
      <c r="B10" s="264"/>
      <c r="C10" s="269" t="s">
        <v>278</v>
      </c>
      <c r="D10" s="269" t="s">
        <v>88</v>
      </c>
      <c r="E10" s="269"/>
    </row>
    <row r="11" spans="1:5">
      <c r="A11" s="262"/>
      <c r="B11" s="265"/>
      <c r="C11" s="269" t="s">
        <v>66</v>
      </c>
      <c r="D11" s="82" t="s">
        <v>291</v>
      </c>
      <c r="E11" s="82" t="s">
        <v>324</v>
      </c>
    </row>
    <row r="12" spans="1:5">
      <c r="A12" s="70" t="s">
        <v>3</v>
      </c>
      <c r="B12" s="71">
        <v>2</v>
      </c>
      <c r="C12" s="71">
        <v>3</v>
      </c>
      <c r="D12" s="51">
        <v>4</v>
      </c>
      <c r="E12" s="51">
        <v>5</v>
      </c>
    </row>
    <row r="13" spans="1:5" ht="47.25">
      <c r="A13" s="61" t="s">
        <v>315</v>
      </c>
      <c r="B13" s="83" t="s">
        <v>316</v>
      </c>
      <c r="C13" s="43">
        <f>C14</f>
        <v>113134.90000000014</v>
      </c>
      <c r="D13" s="43">
        <f t="shared" ref="D13:E13" si="0">D14</f>
        <v>0</v>
      </c>
      <c r="E13" s="43">
        <f t="shared" si="0"/>
        <v>0</v>
      </c>
    </row>
    <row r="14" spans="1:5" ht="31.5">
      <c r="A14" s="41" t="s">
        <v>236</v>
      </c>
      <c r="B14" s="42" t="s">
        <v>400</v>
      </c>
      <c r="C14" s="43">
        <f>C15+C19</f>
        <v>113134.90000000014</v>
      </c>
      <c r="D14" s="43">
        <f>D15+D19</f>
        <v>0</v>
      </c>
      <c r="E14" s="43">
        <f>E15+E19</f>
        <v>0</v>
      </c>
    </row>
    <row r="15" spans="1:5">
      <c r="A15" s="39" t="s">
        <v>237</v>
      </c>
      <c r="B15" s="23" t="s">
        <v>238</v>
      </c>
      <c r="C15" s="44">
        <f t="shared" ref="C15:E17" si="1">C16</f>
        <v>-1724648.7</v>
      </c>
      <c r="D15" s="44">
        <f t="shared" si="1"/>
        <v>-1554607.2</v>
      </c>
      <c r="E15" s="44">
        <f t="shared" si="1"/>
        <v>-1419226.1</v>
      </c>
    </row>
    <row r="16" spans="1:5">
      <c r="A16" s="39" t="s">
        <v>239</v>
      </c>
      <c r="B16" s="23" t="s">
        <v>401</v>
      </c>
      <c r="C16" s="44">
        <f>C17</f>
        <v>-1724648.7</v>
      </c>
      <c r="D16" s="44">
        <f t="shared" si="1"/>
        <v>-1554607.2</v>
      </c>
      <c r="E16" s="44">
        <f t="shared" si="1"/>
        <v>-1419226.1</v>
      </c>
    </row>
    <row r="17" spans="1:5" ht="31.5">
      <c r="A17" s="39" t="s">
        <v>254</v>
      </c>
      <c r="B17" s="23" t="s">
        <v>255</v>
      </c>
      <c r="C17" s="44">
        <f>C18</f>
        <v>-1724648.7</v>
      </c>
      <c r="D17" s="44">
        <f t="shared" si="1"/>
        <v>-1554607.2</v>
      </c>
      <c r="E17" s="44">
        <f t="shared" si="1"/>
        <v>-1419226.1</v>
      </c>
    </row>
    <row r="18" spans="1:5" ht="31.5">
      <c r="A18" s="39" t="s">
        <v>240</v>
      </c>
      <c r="B18" s="23" t="s">
        <v>402</v>
      </c>
      <c r="C18" s="44">
        <v>-1724648.7</v>
      </c>
      <c r="D18" s="45">
        <f>-1554607.2</f>
        <v>-1554607.2</v>
      </c>
      <c r="E18" s="45">
        <v>-1419226.1</v>
      </c>
    </row>
    <row r="19" spans="1:5">
      <c r="A19" s="39" t="s">
        <v>241</v>
      </c>
      <c r="B19" s="23" t="s">
        <v>242</v>
      </c>
      <c r="C19" s="44">
        <f t="shared" ref="C19:E21" si="2">C20</f>
        <v>1837783.6</v>
      </c>
      <c r="D19" s="44">
        <f t="shared" si="2"/>
        <v>1554607.2</v>
      </c>
      <c r="E19" s="44">
        <f t="shared" si="2"/>
        <v>1419226.1</v>
      </c>
    </row>
    <row r="20" spans="1:5">
      <c r="A20" s="39" t="s">
        <v>243</v>
      </c>
      <c r="B20" s="23" t="s">
        <v>403</v>
      </c>
      <c r="C20" s="44">
        <f>C21</f>
        <v>1837783.6</v>
      </c>
      <c r="D20" s="44">
        <f t="shared" si="2"/>
        <v>1554607.2</v>
      </c>
      <c r="E20" s="44">
        <f t="shared" si="2"/>
        <v>1419226.1</v>
      </c>
    </row>
    <row r="21" spans="1:5" ht="31.5">
      <c r="A21" s="39" t="s">
        <v>256</v>
      </c>
      <c r="B21" s="23" t="s">
        <v>257</v>
      </c>
      <c r="C21" s="44">
        <f>C22</f>
        <v>1837783.6</v>
      </c>
      <c r="D21" s="44">
        <f t="shared" si="2"/>
        <v>1554607.2</v>
      </c>
      <c r="E21" s="44">
        <f t="shared" si="2"/>
        <v>1419226.1</v>
      </c>
    </row>
    <row r="22" spans="1:5" ht="31.5">
      <c r="A22" s="39" t="s">
        <v>244</v>
      </c>
      <c r="B22" s="23" t="s">
        <v>404</v>
      </c>
      <c r="C22" s="44">
        <v>1837783.6</v>
      </c>
      <c r="D22" s="45">
        <f>1534607.2+20000</f>
        <v>1554607.2</v>
      </c>
      <c r="E22" s="45">
        <v>1419226.1</v>
      </c>
    </row>
    <row r="24" spans="1:5">
      <c r="A24" s="46"/>
      <c r="B24" s="47"/>
    </row>
    <row r="25" spans="1:5">
      <c r="B25" s="69"/>
    </row>
    <row r="48" spans="4:17"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</sheetData>
  <mergeCells count="11">
    <mergeCell ref="A1:E1"/>
    <mergeCell ref="A2:E2"/>
    <mergeCell ref="A3:E3"/>
    <mergeCell ref="A6:E6"/>
    <mergeCell ref="A7:E7"/>
    <mergeCell ref="A4:E4"/>
    <mergeCell ref="A9:A11"/>
    <mergeCell ref="B9:B11"/>
    <mergeCell ref="C9:E9"/>
    <mergeCell ref="C10:C11"/>
    <mergeCell ref="D10:E10"/>
  </mergeCells>
  <pageMargins left="0.59055118110236227" right="0.19685039370078741" top="0.19685039370078741" bottom="0.19685039370078741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4"/>
  <sheetViews>
    <sheetView zoomScale="80" zoomScaleNormal="80" workbookViewId="0">
      <selection activeCell="B4" sqref="B4:E5"/>
    </sheetView>
  </sheetViews>
  <sheetFormatPr defaultColWidth="9.140625" defaultRowHeight="15.75"/>
  <cols>
    <col min="1" max="1" width="33.85546875" style="184" customWidth="1"/>
    <col min="2" max="2" width="109" style="182" customWidth="1"/>
    <col min="3" max="3" width="14.85546875" style="259" customWidth="1"/>
    <col min="4" max="5" width="14.85546875" style="182" customWidth="1"/>
    <col min="6" max="6" width="8.85546875" style="183" customWidth="1"/>
    <col min="7" max="8" width="9.28515625" style="183" bestFit="1" customWidth="1"/>
    <col min="9" max="16384" width="9.140625" style="183"/>
  </cols>
  <sheetData>
    <row r="1" spans="1:8">
      <c r="A1" s="181"/>
      <c r="C1" s="275" t="s">
        <v>486</v>
      </c>
      <c r="D1" s="275"/>
      <c r="E1" s="275"/>
    </row>
    <row r="2" spans="1:8">
      <c r="B2" s="276" t="s">
        <v>487</v>
      </c>
      <c r="C2" s="276"/>
      <c r="D2" s="276"/>
      <c r="E2" s="276"/>
    </row>
    <row r="3" spans="1:8">
      <c r="C3" s="277" t="s">
        <v>488</v>
      </c>
      <c r="D3" s="277"/>
      <c r="E3" s="277"/>
    </row>
    <row r="4" spans="1:8" ht="15.75" customHeight="1">
      <c r="B4" s="275" t="s">
        <v>832</v>
      </c>
      <c r="C4" s="275"/>
      <c r="D4" s="275"/>
      <c r="E4" s="275"/>
    </row>
    <row r="5" spans="1:8">
      <c r="B5" s="275"/>
      <c r="C5" s="275"/>
      <c r="D5" s="275"/>
      <c r="E5" s="275"/>
    </row>
    <row r="6" spans="1:8">
      <c r="A6" s="181"/>
      <c r="B6" s="185"/>
      <c r="C6" s="186"/>
      <c r="D6" s="185"/>
      <c r="E6" s="185"/>
    </row>
    <row r="7" spans="1:8" ht="50.45" customHeight="1">
      <c r="A7" s="278" t="s">
        <v>489</v>
      </c>
      <c r="B7" s="278"/>
      <c r="C7" s="278"/>
      <c r="D7" s="278"/>
      <c r="E7" s="278"/>
    </row>
    <row r="8" spans="1:8">
      <c r="A8" s="187"/>
      <c r="B8" s="187"/>
      <c r="C8" s="188"/>
      <c r="D8" s="187"/>
      <c r="E8" s="187"/>
    </row>
    <row r="9" spans="1:8" ht="35.25" customHeight="1">
      <c r="A9" s="273" t="s">
        <v>490</v>
      </c>
      <c r="B9" s="274" t="s">
        <v>491</v>
      </c>
      <c r="C9" s="274" t="s">
        <v>492</v>
      </c>
      <c r="D9" s="274"/>
      <c r="E9" s="274"/>
    </row>
    <row r="10" spans="1:8">
      <c r="A10" s="273"/>
      <c r="B10" s="274"/>
      <c r="C10" s="189" t="s">
        <v>278</v>
      </c>
      <c r="D10" s="190" t="s">
        <v>291</v>
      </c>
      <c r="E10" s="190" t="s">
        <v>324</v>
      </c>
    </row>
    <row r="11" spans="1:8">
      <c r="A11" s="191" t="s">
        <v>493</v>
      </c>
      <c r="B11" s="192" t="s">
        <v>494</v>
      </c>
      <c r="C11" s="193">
        <f>C12+C25+C35+C43+C51+C54+C71+C80+C111+C67</f>
        <v>667548.29999999993</v>
      </c>
      <c r="D11" s="194">
        <f>D12+D25+D35+D43+D51+D54+D71+D80+D111+D67</f>
        <v>625332.6</v>
      </c>
      <c r="E11" s="194">
        <f>E12+E25+E35+E43+E51+E54+E71+E80+E111+E67</f>
        <v>602263</v>
      </c>
      <c r="F11" s="195"/>
      <c r="G11" s="195"/>
      <c r="H11" s="195"/>
    </row>
    <row r="12" spans="1:8">
      <c r="A12" s="191" t="s">
        <v>495</v>
      </c>
      <c r="B12" s="192" t="s">
        <v>496</v>
      </c>
      <c r="C12" s="193">
        <f t="shared" ref="C12:E12" si="0">C13</f>
        <v>429934.29999999993</v>
      </c>
      <c r="D12" s="194">
        <f t="shared" si="0"/>
        <v>414132.89999999997</v>
      </c>
      <c r="E12" s="194">
        <f t="shared" si="0"/>
        <v>390453.3</v>
      </c>
    </row>
    <row r="13" spans="1:8">
      <c r="A13" s="191" t="s">
        <v>497</v>
      </c>
      <c r="B13" s="192" t="s">
        <v>498</v>
      </c>
      <c r="C13" s="193">
        <f t="shared" ref="C13:E13" si="1">SUM(C14:C24)</f>
        <v>429934.29999999993</v>
      </c>
      <c r="D13" s="194">
        <f t="shared" si="1"/>
        <v>414132.89999999997</v>
      </c>
      <c r="E13" s="194">
        <f t="shared" si="1"/>
        <v>390453.3</v>
      </c>
    </row>
    <row r="14" spans="1:8" ht="141.75">
      <c r="A14" s="196" t="s">
        <v>499</v>
      </c>
      <c r="B14" s="197" t="s">
        <v>500</v>
      </c>
      <c r="C14" s="198">
        <v>393773.7</v>
      </c>
      <c r="D14" s="199">
        <v>377804.1</v>
      </c>
      <c r="E14" s="199">
        <v>352245.8</v>
      </c>
    </row>
    <row r="15" spans="1:8" ht="110.25">
      <c r="A15" s="196" t="s">
        <v>501</v>
      </c>
      <c r="B15" s="197" t="s">
        <v>502</v>
      </c>
      <c r="C15" s="198">
        <v>346.7</v>
      </c>
      <c r="D15" s="199">
        <v>330.6</v>
      </c>
      <c r="E15" s="199">
        <v>307.60000000000002</v>
      </c>
    </row>
    <row r="16" spans="1:8" ht="94.5">
      <c r="A16" s="196" t="s">
        <v>503</v>
      </c>
      <c r="B16" s="197" t="s">
        <v>504</v>
      </c>
      <c r="C16" s="198">
        <v>153.6</v>
      </c>
      <c r="D16" s="199">
        <v>171.7</v>
      </c>
      <c r="E16" s="199">
        <v>181.5</v>
      </c>
    </row>
    <row r="17" spans="1:11" s="182" customFormat="1" ht="94.5">
      <c r="A17" s="196" t="s">
        <v>505</v>
      </c>
      <c r="B17" s="197" t="s">
        <v>506</v>
      </c>
      <c r="C17" s="198">
        <v>3.5</v>
      </c>
      <c r="D17" s="199">
        <v>4</v>
      </c>
      <c r="E17" s="199">
        <v>4.0999999999999996</v>
      </c>
      <c r="F17" s="183"/>
      <c r="G17" s="183"/>
      <c r="H17" s="183"/>
      <c r="I17" s="183"/>
      <c r="J17" s="183"/>
      <c r="K17" s="183"/>
    </row>
    <row r="18" spans="1:11" s="182" customFormat="1" ht="94.5">
      <c r="A18" s="196" t="s">
        <v>507</v>
      </c>
      <c r="B18" s="197" t="s">
        <v>508</v>
      </c>
      <c r="C18" s="198">
        <v>3462.6</v>
      </c>
      <c r="D18" s="199">
        <v>3302.8999999999996</v>
      </c>
      <c r="E18" s="199">
        <v>3076.9</v>
      </c>
      <c r="F18" s="183"/>
      <c r="G18" s="183"/>
      <c r="H18" s="183"/>
      <c r="I18" s="183"/>
      <c r="J18" s="183"/>
      <c r="K18" s="183"/>
    </row>
    <row r="19" spans="1:11" s="182" customFormat="1" ht="189">
      <c r="A19" s="196" t="s">
        <v>509</v>
      </c>
      <c r="B19" s="197" t="s">
        <v>510</v>
      </c>
      <c r="C19" s="198">
        <v>1372.6</v>
      </c>
      <c r="D19" s="199">
        <v>1533.5</v>
      </c>
      <c r="E19" s="199">
        <v>1621.9</v>
      </c>
      <c r="F19" s="183"/>
      <c r="G19" s="183"/>
      <c r="H19" s="183"/>
      <c r="I19" s="183"/>
      <c r="J19" s="183"/>
      <c r="K19" s="183"/>
    </row>
    <row r="20" spans="1:11" s="182" customFormat="1" ht="63">
      <c r="A20" s="196" t="s">
        <v>511</v>
      </c>
      <c r="B20" s="197" t="s">
        <v>512</v>
      </c>
      <c r="C20" s="198">
        <v>4772.6000000000004</v>
      </c>
      <c r="D20" s="199">
        <v>4176.8</v>
      </c>
      <c r="E20" s="199">
        <v>3989.1</v>
      </c>
      <c r="F20" s="183"/>
      <c r="G20" s="183"/>
      <c r="H20" s="183"/>
      <c r="I20" s="183"/>
      <c r="J20" s="183"/>
      <c r="K20" s="183"/>
    </row>
    <row r="21" spans="1:11" s="182" customFormat="1" ht="63">
      <c r="A21" s="196" t="s">
        <v>513</v>
      </c>
      <c r="B21" s="197" t="s">
        <v>514</v>
      </c>
      <c r="C21" s="198">
        <v>24865.7</v>
      </c>
      <c r="D21" s="199">
        <v>25487.3</v>
      </c>
      <c r="E21" s="199">
        <v>27628.3</v>
      </c>
      <c r="F21" s="183"/>
      <c r="G21" s="183"/>
      <c r="H21" s="183"/>
      <c r="I21" s="183"/>
      <c r="J21" s="183"/>
      <c r="K21" s="183"/>
    </row>
    <row r="22" spans="1:11" s="182" customFormat="1" ht="189">
      <c r="A22" s="196" t="s">
        <v>515</v>
      </c>
      <c r="B22" s="197" t="s">
        <v>516</v>
      </c>
      <c r="C22" s="198">
        <v>636.6</v>
      </c>
      <c r="D22" s="199">
        <v>711.3</v>
      </c>
      <c r="E22" s="199">
        <v>752.3</v>
      </c>
      <c r="F22" s="183"/>
      <c r="G22" s="183"/>
      <c r="H22" s="183"/>
      <c r="I22" s="183"/>
      <c r="J22" s="183"/>
      <c r="K22" s="183"/>
    </row>
    <row r="23" spans="1:11" s="182" customFormat="1" ht="110.25">
      <c r="A23" s="196" t="s">
        <v>517</v>
      </c>
      <c r="B23" s="197" t="s">
        <v>518</v>
      </c>
      <c r="C23" s="198">
        <v>544.70000000000005</v>
      </c>
      <c r="D23" s="199">
        <v>608.4</v>
      </c>
      <c r="E23" s="199">
        <v>643.4</v>
      </c>
      <c r="F23" s="183"/>
      <c r="G23" s="183"/>
      <c r="H23" s="183"/>
      <c r="I23" s="183"/>
      <c r="J23" s="183"/>
      <c r="K23" s="183"/>
    </row>
    <row r="24" spans="1:11" s="182" customFormat="1" ht="31.5">
      <c r="A24" s="196" t="s">
        <v>519</v>
      </c>
      <c r="B24" s="197" t="s">
        <v>520</v>
      </c>
      <c r="C24" s="198">
        <v>2</v>
      </c>
      <c r="D24" s="199">
        <v>2.2999999999999998</v>
      </c>
      <c r="E24" s="199">
        <v>2.4</v>
      </c>
      <c r="F24" s="183"/>
      <c r="G24" s="183"/>
      <c r="H24" s="183"/>
      <c r="I24" s="183"/>
      <c r="J24" s="183"/>
      <c r="K24" s="183"/>
    </row>
    <row r="25" spans="1:11" s="182" customFormat="1" ht="31.5">
      <c r="A25" s="191" t="s">
        <v>521</v>
      </c>
      <c r="B25" s="192" t="s">
        <v>522</v>
      </c>
      <c r="C25" s="193">
        <f t="shared" ref="C25:E25" si="2">C26</f>
        <v>7531.9</v>
      </c>
      <c r="D25" s="194">
        <f t="shared" si="2"/>
        <v>7727.3</v>
      </c>
      <c r="E25" s="194">
        <f t="shared" si="2"/>
        <v>7971.7000000000007</v>
      </c>
      <c r="F25" s="183"/>
      <c r="G25" s="183"/>
      <c r="H25" s="183"/>
      <c r="I25" s="183"/>
      <c r="J25" s="183"/>
      <c r="K25" s="183"/>
    </row>
    <row r="26" spans="1:11" s="182" customFormat="1">
      <c r="A26" s="191" t="s">
        <v>523</v>
      </c>
      <c r="B26" s="192" t="s">
        <v>524</v>
      </c>
      <c r="C26" s="193">
        <f t="shared" ref="C26:E26" si="3">C27+C29+C31+C33</f>
        <v>7531.9</v>
      </c>
      <c r="D26" s="194">
        <f t="shared" si="3"/>
        <v>7727.3</v>
      </c>
      <c r="E26" s="194">
        <f t="shared" si="3"/>
        <v>7971.7000000000007</v>
      </c>
      <c r="F26" s="183"/>
      <c r="G26" s="183"/>
      <c r="H26" s="183"/>
      <c r="I26" s="183"/>
      <c r="J26" s="183"/>
      <c r="K26" s="183"/>
    </row>
    <row r="27" spans="1:11" s="182" customFormat="1" ht="47.25">
      <c r="A27" s="196" t="s">
        <v>525</v>
      </c>
      <c r="B27" s="197" t="s">
        <v>526</v>
      </c>
      <c r="C27" s="200">
        <f t="shared" ref="C27:E27" si="4">C28</f>
        <v>3941.2</v>
      </c>
      <c r="D27" s="201">
        <f t="shared" si="4"/>
        <v>4038.4</v>
      </c>
      <c r="E27" s="201">
        <f t="shared" si="4"/>
        <v>4159.6000000000004</v>
      </c>
      <c r="F27" s="183"/>
      <c r="G27" s="183"/>
      <c r="H27" s="183"/>
      <c r="I27" s="183"/>
      <c r="J27" s="183"/>
      <c r="K27" s="183"/>
    </row>
    <row r="28" spans="1:11" s="182" customFormat="1" ht="63">
      <c r="A28" s="196" t="s">
        <v>527</v>
      </c>
      <c r="B28" s="202" t="s">
        <v>528</v>
      </c>
      <c r="C28" s="198">
        <v>3941.2</v>
      </c>
      <c r="D28" s="199">
        <v>4038.4</v>
      </c>
      <c r="E28" s="199">
        <v>4159.6000000000004</v>
      </c>
      <c r="F28" s="183"/>
      <c r="G28" s="183"/>
      <c r="H28" s="183"/>
      <c r="I28" s="183"/>
      <c r="J28" s="183"/>
      <c r="K28" s="183"/>
    </row>
    <row r="29" spans="1:11" s="182" customFormat="1" ht="47.25">
      <c r="A29" s="196" t="s">
        <v>529</v>
      </c>
      <c r="B29" s="202" t="s">
        <v>530</v>
      </c>
      <c r="C29" s="200">
        <f t="shared" ref="C29:E29" si="5">C30</f>
        <v>19.3</v>
      </c>
      <c r="D29" s="201">
        <f t="shared" si="5"/>
        <v>19.7</v>
      </c>
      <c r="E29" s="201">
        <f t="shared" si="5"/>
        <v>20.3</v>
      </c>
      <c r="F29" s="183"/>
      <c r="G29" s="183"/>
      <c r="H29" s="183"/>
      <c r="I29" s="183"/>
      <c r="J29" s="183"/>
      <c r="K29" s="183"/>
    </row>
    <row r="30" spans="1:11" s="182" customFormat="1" ht="78.75">
      <c r="A30" s="196" t="s">
        <v>531</v>
      </c>
      <c r="B30" s="203" t="s">
        <v>532</v>
      </c>
      <c r="C30" s="198">
        <v>19.3</v>
      </c>
      <c r="D30" s="199">
        <v>19.7</v>
      </c>
      <c r="E30" s="199">
        <v>20.3</v>
      </c>
      <c r="F30" s="183"/>
      <c r="G30" s="183"/>
      <c r="H30" s="183"/>
      <c r="I30" s="183"/>
      <c r="J30" s="183"/>
      <c r="K30" s="183"/>
    </row>
    <row r="31" spans="1:11" s="182" customFormat="1" ht="47.25">
      <c r="A31" s="196" t="s">
        <v>533</v>
      </c>
      <c r="B31" s="203" t="s">
        <v>534</v>
      </c>
      <c r="C31" s="200">
        <f t="shared" ref="C31:E31" si="6">C32</f>
        <v>3812.2</v>
      </c>
      <c r="D31" s="201">
        <f t="shared" si="6"/>
        <v>3906</v>
      </c>
      <c r="E31" s="201">
        <f t="shared" si="6"/>
        <v>4026.2</v>
      </c>
      <c r="F31" s="183"/>
      <c r="G31" s="183"/>
      <c r="H31" s="183"/>
      <c r="I31" s="183"/>
      <c r="J31" s="183"/>
      <c r="K31" s="183"/>
    </row>
    <row r="32" spans="1:11" s="182" customFormat="1" ht="63">
      <c r="A32" s="196" t="s">
        <v>535</v>
      </c>
      <c r="B32" s="203" t="s">
        <v>536</v>
      </c>
      <c r="C32" s="198">
        <v>3812.2</v>
      </c>
      <c r="D32" s="199">
        <v>3906</v>
      </c>
      <c r="E32" s="199">
        <v>4026.2</v>
      </c>
      <c r="F32" s="183"/>
      <c r="G32" s="183"/>
      <c r="H32" s="183"/>
      <c r="I32" s="183"/>
      <c r="J32" s="183"/>
      <c r="K32" s="183"/>
    </row>
    <row r="33" spans="1:11" ht="47.25">
      <c r="A33" s="196" t="s">
        <v>537</v>
      </c>
      <c r="B33" s="203" t="s">
        <v>538</v>
      </c>
      <c r="C33" s="200">
        <f t="shared" ref="C33:E33" si="7">C34</f>
        <v>-240.8</v>
      </c>
      <c r="D33" s="201">
        <f t="shared" si="7"/>
        <v>-236.8</v>
      </c>
      <c r="E33" s="201">
        <f t="shared" si="7"/>
        <v>-234.4</v>
      </c>
    </row>
    <row r="34" spans="1:11" ht="63">
      <c r="A34" s="196" t="s">
        <v>539</v>
      </c>
      <c r="B34" s="202" t="s">
        <v>540</v>
      </c>
      <c r="C34" s="198">
        <v>-240.8</v>
      </c>
      <c r="D34" s="199">
        <v>-236.8</v>
      </c>
      <c r="E34" s="199">
        <v>-234.4</v>
      </c>
    </row>
    <row r="35" spans="1:11">
      <c r="A35" s="191" t="s">
        <v>541</v>
      </c>
      <c r="B35" s="192" t="s">
        <v>542</v>
      </c>
      <c r="C35" s="193">
        <f>C41+C36</f>
        <v>73616.7</v>
      </c>
      <c r="D35" s="194">
        <f>D41+D36</f>
        <v>74481.5</v>
      </c>
      <c r="E35" s="194">
        <f>E41+E36</f>
        <v>75220.600000000006</v>
      </c>
    </row>
    <row r="36" spans="1:11">
      <c r="A36" s="191" t="s">
        <v>543</v>
      </c>
      <c r="B36" s="192" t="s">
        <v>544</v>
      </c>
      <c r="C36" s="193">
        <f t="shared" ref="C36:E36" si="8">C37+C39</f>
        <v>70752.7</v>
      </c>
      <c r="D36" s="194">
        <f t="shared" si="8"/>
        <v>71502.5</v>
      </c>
      <c r="E36" s="194">
        <f t="shared" si="8"/>
        <v>72121.600000000006</v>
      </c>
    </row>
    <row r="37" spans="1:11">
      <c r="A37" s="196" t="s">
        <v>545</v>
      </c>
      <c r="B37" s="197" t="s">
        <v>546</v>
      </c>
      <c r="C37" s="200">
        <f t="shared" ref="C37:E37" si="9">C38</f>
        <v>47471.6</v>
      </c>
      <c r="D37" s="201">
        <f t="shared" si="9"/>
        <v>48249.599999999999</v>
      </c>
      <c r="E37" s="201">
        <f t="shared" si="9"/>
        <v>48665.3</v>
      </c>
    </row>
    <row r="38" spans="1:11">
      <c r="A38" s="196" t="s">
        <v>547</v>
      </c>
      <c r="B38" s="197" t="s">
        <v>546</v>
      </c>
      <c r="C38" s="200">
        <v>47471.6</v>
      </c>
      <c r="D38" s="201">
        <v>48249.599999999999</v>
      </c>
      <c r="E38" s="201">
        <v>48665.3</v>
      </c>
    </row>
    <row r="39" spans="1:11" ht="31.5">
      <c r="A39" s="196" t="s">
        <v>548</v>
      </c>
      <c r="B39" s="197" t="s">
        <v>549</v>
      </c>
      <c r="C39" s="200">
        <f t="shared" ref="C39:E39" si="10">C40</f>
        <v>23281.1</v>
      </c>
      <c r="D39" s="201">
        <f t="shared" si="10"/>
        <v>23252.9</v>
      </c>
      <c r="E39" s="201">
        <f t="shared" si="10"/>
        <v>23456.3</v>
      </c>
    </row>
    <row r="40" spans="1:11" ht="47.25">
      <c r="A40" s="196" t="s">
        <v>550</v>
      </c>
      <c r="B40" s="197" t="s">
        <v>551</v>
      </c>
      <c r="C40" s="200">
        <v>23281.1</v>
      </c>
      <c r="D40" s="201">
        <v>23252.9</v>
      </c>
      <c r="E40" s="201">
        <v>23456.3</v>
      </c>
    </row>
    <row r="41" spans="1:11" s="182" customFormat="1">
      <c r="A41" s="191" t="s">
        <v>552</v>
      </c>
      <c r="B41" s="192" t="s">
        <v>553</v>
      </c>
      <c r="C41" s="193">
        <f t="shared" ref="C41:E41" si="11">C42</f>
        <v>2864</v>
      </c>
      <c r="D41" s="194">
        <f t="shared" si="11"/>
        <v>2979</v>
      </c>
      <c r="E41" s="194">
        <f t="shared" si="11"/>
        <v>3099</v>
      </c>
      <c r="F41" s="183"/>
      <c r="G41" s="183"/>
      <c r="H41" s="183"/>
      <c r="I41" s="183"/>
      <c r="J41" s="183"/>
      <c r="K41" s="183"/>
    </row>
    <row r="42" spans="1:11" s="182" customFormat="1" ht="31.5">
      <c r="A42" s="196" t="s">
        <v>554</v>
      </c>
      <c r="B42" s="197" t="s">
        <v>555</v>
      </c>
      <c r="C42" s="198">
        <v>2864</v>
      </c>
      <c r="D42" s="199">
        <v>2979</v>
      </c>
      <c r="E42" s="199">
        <v>3099</v>
      </c>
      <c r="F42" s="183"/>
      <c r="G42" s="183"/>
      <c r="H42" s="183"/>
      <c r="I42" s="183"/>
      <c r="J42" s="183"/>
      <c r="K42" s="183"/>
    </row>
    <row r="43" spans="1:11" s="182" customFormat="1">
      <c r="A43" s="191" t="s">
        <v>556</v>
      </c>
      <c r="B43" s="192" t="s">
        <v>557</v>
      </c>
      <c r="C43" s="193">
        <f t="shared" ref="C43:E43" si="12">C44+C46</f>
        <v>70951</v>
      </c>
      <c r="D43" s="194">
        <f t="shared" si="12"/>
        <v>72140</v>
      </c>
      <c r="E43" s="194">
        <f t="shared" si="12"/>
        <v>73348</v>
      </c>
      <c r="F43" s="183"/>
      <c r="G43" s="183"/>
      <c r="H43" s="183"/>
      <c r="I43" s="183"/>
      <c r="J43" s="183"/>
      <c r="K43" s="183"/>
    </row>
    <row r="44" spans="1:11" s="182" customFormat="1">
      <c r="A44" s="191" t="s">
        <v>558</v>
      </c>
      <c r="B44" s="192" t="s">
        <v>559</v>
      </c>
      <c r="C44" s="193">
        <f t="shared" ref="C44:E44" si="13">C45</f>
        <v>29044</v>
      </c>
      <c r="D44" s="194">
        <f t="shared" si="13"/>
        <v>29597</v>
      </c>
      <c r="E44" s="194">
        <f t="shared" si="13"/>
        <v>30159</v>
      </c>
      <c r="F44" s="183"/>
      <c r="G44" s="183"/>
      <c r="H44" s="183"/>
      <c r="I44" s="183"/>
      <c r="J44" s="183"/>
      <c r="K44" s="183"/>
    </row>
    <row r="45" spans="1:11" s="182" customFormat="1" ht="31.5">
      <c r="A45" s="196" t="s">
        <v>560</v>
      </c>
      <c r="B45" s="197" t="s">
        <v>561</v>
      </c>
      <c r="C45" s="198">
        <v>29044</v>
      </c>
      <c r="D45" s="199">
        <v>29597</v>
      </c>
      <c r="E45" s="199">
        <v>30159</v>
      </c>
      <c r="F45" s="183"/>
      <c r="G45" s="183"/>
      <c r="H45" s="183"/>
      <c r="I45" s="183"/>
      <c r="J45" s="183"/>
      <c r="K45" s="183"/>
    </row>
    <row r="46" spans="1:11" s="182" customFormat="1">
      <c r="A46" s="191" t="s">
        <v>562</v>
      </c>
      <c r="B46" s="192" t="s">
        <v>563</v>
      </c>
      <c r="C46" s="193">
        <f t="shared" ref="C46:E46" si="14">C47+C49</f>
        <v>41907</v>
      </c>
      <c r="D46" s="194">
        <f t="shared" si="14"/>
        <v>42543</v>
      </c>
      <c r="E46" s="194">
        <f t="shared" si="14"/>
        <v>43189</v>
      </c>
      <c r="F46" s="183"/>
      <c r="G46" s="183"/>
      <c r="H46" s="183"/>
      <c r="I46" s="183"/>
      <c r="J46" s="183"/>
      <c r="K46" s="183"/>
    </row>
    <row r="47" spans="1:11" s="182" customFormat="1">
      <c r="A47" s="196" t="s">
        <v>564</v>
      </c>
      <c r="B47" s="197" t="s">
        <v>565</v>
      </c>
      <c r="C47" s="200">
        <f t="shared" ref="C47:E47" si="15">C48</f>
        <v>32146</v>
      </c>
      <c r="D47" s="201">
        <f t="shared" si="15"/>
        <v>32564</v>
      </c>
      <c r="E47" s="201">
        <f t="shared" si="15"/>
        <v>32987</v>
      </c>
      <c r="F47" s="183"/>
      <c r="G47" s="183"/>
      <c r="H47" s="183"/>
      <c r="I47" s="183"/>
      <c r="J47" s="183"/>
      <c r="K47" s="183"/>
    </row>
    <row r="48" spans="1:11" s="182" customFormat="1" ht="31.5">
      <c r="A48" s="196" t="s">
        <v>566</v>
      </c>
      <c r="B48" s="197" t="s">
        <v>567</v>
      </c>
      <c r="C48" s="198">
        <v>32146</v>
      </c>
      <c r="D48" s="199">
        <v>32564</v>
      </c>
      <c r="E48" s="199">
        <v>32987</v>
      </c>
      <c r="F48" s="183"/>
      <c r="G48" s="183"/>
      <c r="H48" s="183"/>
      <c r="I48" s="183"/>
      <c r="J48" s="183"/>
      <c r="K48" s="183"/>
    </row>
    <row r="49" spans="1:11" s="182" customFormat="1">
      <c r="A49" s="196" t="s">
        <v>568</v>
      </c>
      <c r="B49" s="197" t="s">
        <v>569</v>
      </c>
      <c r="C49" s="200">
        <f t="shared" ref="C49:E49" si="16">C50</f>
        <v>9761</v>
      </c>
      <c r="D49" s="201">
        <f t="shared" si="16"/>
        <v>9979</v>
      </c>
      <c r="E49" s="201">
        <f t="shared" si="16"/>
        <v>10202</v>
      </c>
      <c r="F49" s="183"/>
      <c r="G49" s="183"/>
      <c r="H49" s="183"/>
      <c r="I49" s="183"/>
      <c r="J49" s="183"/>
      <c r="K49" s="183"/>
    </row>
    <row r="50" spans="1:11" s="182" customFormat="1" ht="31.5">
      <c r="A50" s="196" t="s">
        <v>570</v>
      </c>
      <c r="B50" s="197" t="s">
        <v>571</v>
      </c>
      <c r="C50" s="198">
        <v>9761</v>
      </c>
      <c r="D50" s="199">
        <v>9979</v>
      </c>
      <c r="E50" s="199">
        <v>10202</v>
      </c>
      <c r="F50" s="183"/>
      <c r="G50" s="183"/>
      <c r="H50" s="183"/>
      <c r="I50" s="183"/>
      <c r="J50" s="183"/>
      <c r="K50" s="183"/>
    </row>
    <row r="51" spans="1:11" s="182" customFormat="1">
      <c r="A51" s="191" t="s">
        <v>572</v>
      </c>
      <c r="B51" s="192" t="s">
        <v>573</v>
      </c>
      <c r="C51" s="193">
        <f t="shared" ref="C51:E52" si="17">C52</f>
        <v>21684</v>
      </c>
      <c r="D51" s="194">
        <f t="shared" si="17"/>
        <v>21684</v>
      </c>
      <c r="E51" s="194">
        <f t="shared" si="17"/>
        <v>21684</v>
      </c>
      <c r="F51" s="183"/>
      <c r="G51" s="183"/>
      <c r="H51" s="183"/>
      <c r="I51" s="183"/>
      <c r="J51" s="183"/>
      <c r="K51" s="183"/>
    </row>
    <row r="52" spans="1:11" s="182" customFormat="1" ht="31.5">
      <c r="A52" s="191" t="s">
        <v>574</v>
      </c>
      <c r="B52" s="192" t="s">
        <v>575</v>
      </c>
      <c r="C52" s="193">
        <f t="shared" si="17"/>
        <v>21684</v>
      </c>
      <c r="D52" s="194">
        <f t="shared" si="17"/>
        <v>21684</v>
      </c>
      <c r="E52" s="194">
        <f t="shared" si="17"/>
        <v>21684</v>
      </c>
      <c r="F52" s="183"/>
      <c r="G52" s="183"/>
      <c r="H52" s="183"/>
      <c r="I52" s="183"/>
      <c r="J52" s="183"/>
      <c r="K52" s="183"/>
    </row>
    <row r="53" spans="1:11" s="182" customFormat="1" ht="31.5">
      <c r="A53" s="196" t="s">
        <v>576</v>
      </c>
      <c r="B53" s="197" t="s">
        <v>577</v>
      </c>
      <c r="C53" s="198">
        <v>21684</v>
      </c>
      <c r="D53" s="199">
        <v>21684</v>
      </c>
      <c r="E53" s="199">
        <v>21684</v>
      </c>
      <c r="F53" s="183"/>
      <c r="G53" s="183"/>
      <c r="H53" s="183"/>
      <c r="I53" s="183"/>
      <c r="J53" s="183"/>
      <c r="K53" s="183"/>
    </row>
    <row r="54" spans="1:11" s="182" customFormat="1" ht="31.5">
      <c r="A54" s="191" t="s">
        <v>578</v>
      </c>
      <c r="B54" s="192" t="s">
        <v>579</v>
      </c>
      <c r="C54" s="193">
        <f t="shared" ref="C54:E54" si="18">C55+C62</f>
        <v>22524.799999999999</v>
      </c>
      <c r="D54" s="194">
        <f t="shared" si="18"/>
        <v>22553.300000000003</v>
      </c>
      <c r="E54" s="194">
        <f t="shared" si="18"/>
        <v>22583.100000000002</v>
      </c>
      <c r="F54" s="183"/>
      <c r="G54" s="183"/>
      <c r="H54" s="183"/>
      <c r="I54" s="183"/>
      <c r="J54" s="183"/>
      <c r="K54" s="183"/>
    </row>
    <row r="55" spans="1:11" s="182" customFormat="1" ht="63">
      <c r="A55" s="191" t="s">
        <v>580</v>
      </c>
      <c r="B55" s="192" t="s">
        <v>581</v>
      </c>
      <c r="C55" s="193">
        <f t="shared" ref="C55:E55" si="19">C56+C58+C60</f>
        <v>19690.7</v>
      </c>
      <c r="D55" s="194">
        <f t="shared" si="19"/>
        <v>19706.800000000003</v>
      </c>
      <c r="E55" s="194">
        <f t="shared" si="19"/>
        <v>19723.7</v>
      </c>
      <c r="F55" s="183"/>
      <c r="G55" s="183"/>
      <c r="H55" s="183"/>
      <c r="I55" s="183"/>
      <c r="J55" s="183"/>
      <c r="K55" s="183"/>
    </row>
    <row r="56" spans="1:11" s="182" customFormat="1" ht="47.25">
      <c r="A56" s="196" t="s">
        <v>582</v>
      </c>
      <c r="B56" s="197" t="s">
        <v>583</v>
      </c>
      <c r="C56" s="200">
        <f t="shared" ref="C56:E56" si="20">C57</f>
        <v>12636.4</v>
      </c>
      <c r="D56" s="201">
        <f t="shared" si="20"/>
        <v>12652.5</v>
      </c>
      <c r="E56" s="201">
        <f t="shared" si="20"/>
        <v>12669.4</v>
      </c>
      <c r="F56" s="183"/>
      <c r="G56" s="183"/>
      <c r="H56" s="183"/>
      <c r="I56" s="183"/>
      <c r="J56" s="183"/>
      <c r="K56" s="183"/>
    </row>
    <row r="57" spans="1:11" s="182" customFormat="1" ht="47.25">
      <c r="A57" s="196" t="s">
        <v>584</v>
      </c>
      <c r="B57" s="197" t="s">
        <v>585</v>
      </c>
      <c r="C57" s="198">
        <v>12636.4</v>
      </c>
      <c r="D57" s="199">
        <v>12652.5</v>
      </c>
      <c r="E57" s="199">
        <v>12669.4</v>
      </c>
      <c r="F57" s="183"/>
      <c r="G57" s="183"/>
      <c r="H57" s="183"/>
      <c r="I57" s="183"/>
      <c r="J57" s="183"/>
      <c r="K57" s="183"/>
    </row>
    <row r="58" spans="1:11" s="182" customFormat="1" ht="47.25">
      <c r="A58" s="196" t="s">
        <v>586</v>
      </c>
      <c r="B58" s="197" t="s">
        <v>587</v>
      </c>
      <c r="C58" s="198">
        <f t="shared" ref="C58:E58" si="21">C59</f>
        <v>955.7</v>
      </c>
      <c r="D58" s="199">
        <f t="shared" si="21"/>
        <v>955.7</v>
      </c>
      <c r="E58" s="199">
        <f t="shared" si="21"/>
        <v>955.7</v>
      </c>
      <c r="F58" s="183"/>
      <c r="G58" s="183"/>
      <c r="H58" s="183"/>
      <c r="I58" s="183"/>
      <c r="J58" s="183"/>
      <c r="K58" s="183"/>
    </row>
    <row r="59" spans="1:11" s="182" customFormat="1" ht="47.25">
      <c r="A59" s="196" t="s">
        <v>588</v>
      </c>
      <c r="B59" s="197" t="s">
        <v>589</v>
      </c>
      <c r="C59" s="198">
        <v>955.7</v>
      </c>
      <c r="D59" s="199">
        <v>955.7</v>
      </c>
      <c r="E59" s="199">
        <v>955.7</v>
      </c>
      <c r="F59" s="183"/>
      <c r="G59" s="183"/>
      <c r="H59" s="183"/>
      <c r="I59" s="183"/>
      <c r="J59" s="183"/>
      <c r="K59" s="183"/>
    </row>
    <row r="60" spans="1:11" s="182" customFormat="1" ht="31.5">
      <c r="A60" s="196" t="s">
        <v>590</v>
      </c>
      <c r="B60" s="197" t="s">
        <v>591</v>
      </c>
      <c r="C60" s="200">
        <f t="shared" ref="C60:E60" si="22">C61</f>
        <v>6098.6</v>
      </c>
      <c r="D60" s="201">
        <f t="shared" si="22"/>
        <v>6098.6</v>
      </c>
      <c r="E60" s="201">
        <f t="shared" si="22"/>
        <v>6098.6</v>
      </c>
      <c r="F60" s="183"/>
      <c r="G60" s="183"/>
      <c r="H60" s="183"/>
      <c r="I60" s="183"/>
      <c r="J60" s="183"/>
      <c r="K60" s="183"/>
    </row>
    <row r="61" spans="1:11" s="182" customFormat="1" ht="31.5">
      <c r="A61" s="196" t="s">
        <v>592</v>
      </c>
      <c r="B61" s="197" t="s">
        <v>593</v>
      </c>
      <c r="C61" s="198">
        <v>6098.6</v>
      </c>
      <c r="D61" s="199">
        <v>6098.6</v>
      </c>
      <c r="E61" s="199">
        <v>6098.6</v>
      </c>
      <c r="F61" s="183"/>
      <c r="G61" s="183"/>
      <c r="H61" s="183"/>
      <c r="I61" s="183"/>
      <c r="J61" s="183"/>
      <c r="K61" s="183"/>
    </row>
    <row r="62" spans="1:11" s="182" customFormat="1" ht="63">
      <c r="A62" s="191" t="s">
        <v>594</v>
      </c>
      <c r="B62" s="192" t="s">
        <v>595</v>
      </c>
      <c r="C62" s="193">
        <f t="shared" ref="C62:E62" si="23">C63+C65</f>
        <v>2834.1</v>
      </c>
      <c r="D62" s="194">
        <f t="shared" si="23"/>
        <v>2846.5</v>
      </c>
      <c r="E62" s="194">
        <f t="shared" si="23"/>
        <v>2859.4</v>
      </c>
      <c r="F62" s="183"/>
      <c r="G62" s="183"/>
      <c r="H62" s="183"/>
      <c r="I62" s="183"/>
      <c r="J62" s="183"/>
      <c r="K62" s="183"/>
    </row>
    <row r="63" spans="1:11" s="182" customFormat="1" ht="47.25">
      <c r="A63" s="196" t="s">
        <v>596</v>
      </c>
      <c r="B63" s="197" t="s">
        <v>597</v>
      </c>
      <c r="C63" s="200">
        <f t="shared" ref="C63:E63" si="24">C64</f>
        <v>2524.4</v>
      </c>
      <c r="D63" s="201">
        <f t="shared" si="24"/>
        <v>2524.4</v>
      </c>
      <c r="E63" s="201">
        <f t="shared" si="24"/>
        <v>2524.4</v>
      </c>
      <c r="F63" s="183"/>
      <c r="G63" s="183"/>
      <c r="H63" s="183"/>
      <c r="I63" s="183"/>
      <c r="J63" s="183"/>
      <c r="K63" s="183"/>
    </row>
    <row r="64" spans="1:11" s="182" customFormat="1" ht="47.25">
      <c r="A64" s="196" t="s">
        <v>598</v>
      </c>
      <c r="B64" s="197" t="s">
        <v>599</v>
      </c>
      <c r="C64" s="198">
        <v>2524.4</v>
      </c>
      <c r="D64" s="199">
        <v>2524.4</v>
      </c>
      <c r="E64" s="199">
        <v>2524.4</v>
      </c>
      <c r="F64" s="183"/>
      <c r="G64" s="183"/>
      <c r="H64" s="183"/>
      <c r="I64" s="183"/>
      <c r="J64" s="183"/>
      <c r="K64" s="183"/>
    </row>
    <row r="65" spans="1:11" s="182" customFormat="1" ht="63">
      <c r="A65" s="196" t="s">
        <v>600</v>
      </c>
      <c r="B65" s="197" t="s">
        <v>601</v>
      </c>
      <c r="C65" s="200">
        <f t="shared" ref="C65:E65" si="25">C66</f>
        <v>309.7</v>
      </c>
      <c r="D65" s="201">
        <f t="shared" si="25"/>
        <v>322.10000000000002</v>
      </c>
      <c r="E65" s="201">
        <f t="shared" si="25"/>
        <v>335</v>
      </c>
      <c r="F65" s="183"/>
      <c r="G65" s="183"/>
      <c r="H65" s="183"/>
      <c r="I65" s="183"/>
      <c r="J65" s="183"/>
      <c r="K65" s="183"/>
    </row>
    <row r="66" spans="1:11" s="182" customFormat="1" ht="63">
      <c r="A66" s="196" t="s">
        <v>602</v>
      </c>
      <c r="B66" s="197" t="s">
        <v>603</v>
      </c>
      <c r="C66" s="198">
        <v>309.7</v>
      </c>
      <c r="D66" s="199">
        <v>322.10000000000002</v>
      </c>
      <c r="E66" s="199">
        <v>335</v>
      </c>
      <c r="F66" s="183"/>
      <c r="G66" s="183"/>
      <c r="H66" s="183"/>
      <c r="I66" s="183"/>
      <c r="J66" s="183"/>
      <c r="K66" s="183"/>
    </row>
    <row r="67" spans="1:11" s="182" customFormat="1">
      <c r="A67" s="191" t="s">
        <v>817</v>
      </c>
      <c r="B67" s="192" t="s">
        <v>818</v>
      </c>
      <c r="C67" s="204">
        <f>C68</f>
        <v>3491.6</v>
      </c>
      <c r="D67" s="205">
        <f t="shared" ref="D67:E69" si="26">D68</f>
        <v>0</v>
      </c>
      <c r="E67" s="205">
        <f t="shared" si="26"/>
        <v>0</v>
      </c>
      <c r="F67" s="183"/>
      <c r="G67" s="183"/>
      <c r="H67" s="183"/>
      <c r="I67" s="183"/>
      <c r="J67" s="183"/>
      <c r="K67" s="183"/>
    </row>
    <row r="68" spans="1:11" s="182" customFormat="1">
      <c r="A68" s="191" t="s">
        <v>819</v>
      </c>
      <c r="B68" s="192" t="s">
        <v>820</v>
      </c>
      <c r="C68" s="204">
        <f>C69</f>
        <v>3491.6</v>
      </c>
      <c r="D68" s="205">
        <f t="shared" si="26"/>
        <v>0</v>
      </c>
      <c r="E68" s="205">
        <f t="shared" si="26"/>
        <v>0</v>
      </c>
      <c r="F68" s="183"/>
      <c r="G68" s="183"/>
      <c r="H68" s="183"/>
      <c r="I68" s="183"/>
      <c r="J68" s="183"/>
      <c r="K68" s="183"/>
    </row>
    <row r="69" spans="1:11" s="182" customFormat="1">
      <c r="A69" s="196" t="s">
        <v>821</v>
      </c>
      <c r="B69" s="197" t="s">
        <v>822</v>
      </c>
      <c r="C69" s="198">
        <f>C70</f>
        <v>3491.6</v>
      </c>
      <c r="D69" s="199">
        <f t="shared" si="26"/>
        <v>0</v>
      </c>
      <c r="E69" s="199">
        <f t="shared" si="26"/>
        <v>0</v>
      </c>
      <c r="F69" s="183"/>
      <c r="G69" s="183"/>
      <c r="H69" s="183"/>
      <c r="I69" s="183"/>
      <c r="J69" s="183"/>
      <c r="K69" s="183"/>
    </row>
    <row r="70" spans="1:11" s="182" customFormat="1">
      <c r="A70" s="196" t="s">
        <v>823</v>
      </c>
      <c r="B70" s="197" t="s">
        <v>824</v>
      </c>
      <c r="C70" s="198">
        <v>3491.6</v>
      </c>
      <c r="D70" s="199">
        <v>0</v>
      </c>
      <c r="E70" s="199">
        <v>0</v>
      </c>
      <c r="F70" s="183"/>
      <c r="G70" s="183"/>
      <c r="H70" s="183"/>
      <c r="I70" s="183"/>
      <c r="J70" s="183"/>
      <c r="K70" s="183"/>
    </row>
    <row r="71" spans="1:11" s="182" customFormat="1">
      <c r="A71" s="191" t="s">
        <v>604</v>
      </c>
      <c r="B71" s="192" t="s">
        <v>605</v>
      </c>
      <c r="C71" s="193">
        <f>C72+C78+C75</f>
        <v>33965.199999999997</v>
      </c>
      <c r="D71" s="194">
        <f>D72+D78+D75</f>
        <v>9764.6999999999989</v>
      </c>
      <c r="E71" s="194">
        <f>E72+E78+E75</f>
        <v>8148.9000000000005</v>
      </c>
      <c r="F71" s="183"/>
      <c r="G71" s="183"/>
      <c r="H71" s="183"/>
      <c r="I71" s="183"/>
      <c r="J71" s="183"/>
      <c r="K71" s="183"/>
    </row>
    <row r="72" spans="1:11" s="182" customFormat="1" ht="31.5">
      <c r="A72" s="191" t="s">
        <v>606</v>
      </c>
      <c r="B72" s="192" t="s">
        <v>607</v>
      </c>
      <c r="C72" s="193">
        <f t="shared" ref="C72:E73" si="27">C73</f>
        <v>999.3</v>
      </c>
      <c r="D72" s="194">
        <f t="shared" si="27"/>
        <v>999.3</v>
      </c>
      <c r="E72" s="194">
        <f t="shared" si="27"/>
        <v>999.3</v>
      </c>
      <c r="F72" s="183"/>
      <c r="G72" s="183"/>
      <c r="H72" s="183"/>
      <c r="I72" s="183"/>
      <c r="J72" s="183"/>
      <c r="K72" s="183"/>
    </row>
    <row r="73" spans="1:11" s="182" customFormat="1">
      <c r="A73" s="196" t="s">
        <v>608</v>
      </c>
      <c r="B73" s="197" t="s">
        <v>609</v>
      </c>
      <c r="C73" s="200">
        <f t="shared" si="27"/>
        <v>999.3</v>
      </c>
      <c r="D73" s="201">
        <f t="shared" si="27"/>
        <v>999.3</v>
      </c>
      <c r="E73" s="201">
        <f t="shared" si="27"/>
        <v>999.3</v>
      </c>
      <c r="F73" s="183"/>
      <c r="G73" s="183"/>
      <c r="H73" s="183"/>
      <c r="I73" s="183"/>
      <c r="J73" s="183"/>
      <c r="K73" s="183"/>
    </row>
    <row r="74" spans="1:11" ht="31.5">
      <c r="A74" s="196" t="s">
        <v>610</v>
      </c>
      <c r="B74" s="197" t="s">
        <v>611</v>
      </c>
      <c r="C74" s="198">
        <v>999.3</v>
      </c>
      <c r="D74" s="199">
        <v>999.3</v>
      </c>
      <c r="E74" s="199">
        <v>999.3</v>
      </c>
    </row>
    <row r="75" spans="1:11" s="206" customFormat="1" ht="47.25">
      <c r="A75" s="191" t="s">
        <v>612</v>
      </c>
      <c r="B75" s="192" t="s">
        <v>613</v>
      </c>
      <c r="C75" s="204">
        <f t="shared" ref="C75:E76" si="28">C76</f>
        <v>378.1</v>
      </c>
      <c r="D75" s="205">
        <f t="shared" si="28"/>
        <v>378.1</v>
      </c>
      <c r="E75" s="205">
        <f t="shared" si="28"/>
        <v>378.1</v>
      </c>
    </row>
    <row r="76" spans="1:11" ht="47.25">
      <c r="A76" s="196" t="s">
        <v>614</v>
      </c>
      <c r="B76" s="197" t="s">
        <v>615</v>
      </c>
      <c r="C76" s="198">
        <f t="shared" si="28"/>
        <v>378.1</v>
      </c>
      <c r="D76" s="199">
        <f t="shared" si="28"/>
        <v>378.1</v>
      </c>
      <c r="E76" s="199">
        <f t="shared" si="28"/>
        <v>378.1</v>
      </c>
    </row>
    <row r="77" spans="1:11" ht="47.25">
      <c r="A77" s="196" t="s">
        <v>616</v>
      </c>
      <c r="B77" s="197" t="s">
        <v>617</v>
      </c>
      <c r="C77" s="198">
        <v>378.1</v>
      </c>
      <c r="D77" s="199">
        <v>378.1</v>
      </c>
      <c r="E77" s="199">
        <v>378.1</v>
      </c>
    </row>
    <row r="78" spans="1:11" ht="19.5" customHeight="1">
      <c r="A78" s="191" t="s">
        <v>618</v>
      </c>
      <c r="B78" s="207" t="s">
        <v>619</v>
      </c>
      <c r="C78" s="193">
        <f t="shared" ref="C78:E78" si="29">C79</f>
        <v>32587.8</v>
      </c>
      <c r="D78" s="194">
        <f t="shared" si="29"/>
        <v>8387.2999999999993</v>
      </c>
      <c r="E78" s="194">
        <f t="shared" si="29"/>
        <v>6771.5</v>
      </c>
    </row>
    <row r="79" spans="1:11" ht="31.5">
      <c r="A79" s="196" t="s">
        <v>620</v>
      </c>
      <c r="B79" s="202" t="s">
        <v>621</v>
      </c>
      <c r="C79" s="198">
        <f>7422.9+15797.7+9367.2</f>
        <v>32587.8</v>
      </c>
      <c r="D79" s="199">
        <f>6027+2360.3</f>
        <v>8387.2999999999993</v>
      </c>
      <c r="E79" s="199">
        <f>4520.1+2251.4</f>
        <v>6771.5</v>
      </c>
    </row>
    <row r="80" spans="1:11">
      <c r="A80" s="191" t="s">
        <v>622</v>
      </c>
      <c r="B80" s="207" t="s">
        <v>623</v>
      </c>
      <c r="C80" s="193">
        <f>C81+C103+C108+C105</f>
        <v>3423.5</v>
      </c>
      <c r="D80" s="194">
        <f t="shared" ref="D80:E80" si="30">D81+D103+D108+D105</f>
        <v>2848.8999999999996</v>
      </c>
      <c r="E80" s="194">
        <f t="shared" si="30"/>
        <v>2853.3999999999996</v>
      </c>
    </row>
    <row r="81" spans="1:11" ht="31.5">
      <c r="A81" s="191" t="s">
        <v>624</v>
      </c>
      <c r="B81" s="207" t="s">
        <v>625</v>
      </c>
      <c r="C81" s="193">
        <f>C92+C94+C101+C82+C84+C86+C88+C96+C98+C90</f>
        <v>1150.3</v>
      </c>
      <c r="D81" s="194">
        <f t="shared" ref="D81:E81" si="31">D92+D94+D101+D82+D84+D86+D88+D96+D98+D90</f>
        <v>1145.0999999999999</v>
      </c>
      <c r="E81" s="194">
        <f t="shared" si="31"/>
        <v>1149.5999999999999</v>
      </c>
    </row>
    <row r="82" spans="1:11" ht="47.25">
      <c r="A82" s="208" t="s">
        <v>626</v>
      </c>
      <c r="B82" s="202" t="s">
        <v>627</v>
      </c>
      <c r="C82" s="200">
        <f t="shared" ref="C82:E82" si="32">C83</f>
        <v>41.8</v>
      </c>
      <c r="D82" s="201">
        <f t="shared" si="32"/>
        <v>40.799999999999997</v>
      </c>
      <c r="E82" s="201">
        <f t="shared" si="32"/>
        <v>41.3</v>
      </c>
    </row>
    <row r="83" spans="1:11" ht="47.25">
      <c r="A83" s="196" t="s">
        <v>628</v>
      </c>
      <c r="B83" s="202" t="s">
        <v>629</v>
      </c>
      <c r="C83" s="198">
        <v>41.8</v>
      </c>
      <c r="D83" s="199">
        <v>40.799999999999997</v>
      </c>
      <c r="E83" s="199">
        <v>41.3</v>
      </c>
    </row>
    <row r="84" spans="1:11" ht="47.25">
      <c r="A84" s="196" t="s">
        <v>630</v>
      </c>
      <c r="B84" s="202" t="s">
        <v>631</v>
      </c>
      <c r="C84" s="200">
        <f t="shared" ref="C84:E84" si="33">C85</f>
        <v>51.5</v>
      </c>
      <c r="D84" s="201">
        <f t="shared" si="33"/>
        <v>49</v>
      </c>
      <c r="E84" s="201">
        <f t="shared" si="33"/>
        <v>51.5</v>
      </c>
    </row>
    <row r="85" spans="1:11" ht="63">
      <c r="A85" s="196" t="s">
        <v>632</v>
      </c>
      <c r="B85" s="202" t="s">
        <v>633</v>
      </c>
      <c r="C85" s="198">
        <v>51.5</v>
      </c>
      <c r="D85" s="199">
        <v>49</v>
      </c>
      <c r="E85" s="199">
        <v>51.5</v>
      </c>
    </row>
    <row r="86" spans="1:11" ht="47.25">
      <c r="A86" s="196" t="s">
        <v>634</v>
      </c>
      <c r="B86" s="202" t="s">
        <v>635</v>
      </c>
      <c r="C86" s="200">
        <f>C87</f>
        <v>116.7</v>
      </c>
      <c r="D86" s="201">
        <f t="shared" ref="D86:E86" si="34">D87</f>
        <v>118.2</v>
      </c>
      <c r="E86" s="201">
        <f t="shared" si="34"/>
        <v>116.7</v>
      </c>
    </row>
    <row r="87" spans="1:11" ht="63">
      <c r="A87" s="196" t="s">
        <v>636</v>
      </c>
      <c r="B87" s="202" t="s">
        <v>637</v>
      </c>
      <c r="C87" s="198">
        <v>116.7</v>
      </c>
      <c r="D87" s="199">
        <v>118.2</v>
      </c>
      <c r="E87" s="199">
        <v>116.7</v>
      </c>
    </row>
    <row r="88" spans="1:11" s="182" customFormat="1" ht="47.25">
      <c r="A88" s="196" t="s">
        <v>638</v>
      </c>
      <c r="B88" s="202" t="s">
        <v>639</v>
      </c>
      <c r="C88" s="200">
        <f t="shared" ref="C88:E88" si="35">C89</f>
        <v>97.7</v>
      </c>
      <c r="D88" s="201">
        <f t="shared" si="35"/>
        <v>97.7</v>
      </c>
      <c r="E88" s="201">
        <f t="shared" si="35"/>
        <v>97.7</v>
      </c>
      <c r="F88" s="183"/>
      <c r="G88" s="183"/>
      <c r="H88" s="183"/>
      <c r="I88" s="183"/>
      <c r="J88" s="183"/>
      <c r="K88" s="183"/>
    </row>
    <row r="89" spans="1:11" s="182" customFormat="1" ht="63">
      <c r="A89" s="196" t="s">
        <v>640</v>
      </c>
      <c r="B89" s="202" t="s">
        <v>641</v>
      </c>
      <c r="C89" s="198">
        <v>97.7</v>
      </c>
      <c r="D89" s="199">
        <v>97.7</v>
      </c>
      <c r="E89" s="199">
        <v>97.7</v>
      </c>
      <c r="F89" s="183"/>
      <c r="G89" s="183"/>
      <c r="H89" s="183"/>
      <c r="I89" s="183"/>
      <c r="J89" s="183"/>
      <c r="K89" s="183"/>
    </row>
    <row r="90" spans="1:11" s="182" customFormat="1" ht="47.25">
      <c r="A90" s="196" t="s">
        <v>642</v>
      </c>
      <c r="B90" s="202" t="s">
        <v>643</v>
      </c>
      <c r="C90" s="200">
        <f t="shared" ref="C90:E90" si="36">C91</f>
        <v>25.6</v>
      </c>
      <c r="D90" s="201">
        <f t="shared" si="36"/>
        <v>25.6</v>
      </c>
      <c r="E90" s="201">
        <f t="shared" si="36"/>
        <v>25.6</v>
      </c>
      <c r="F90" s="183"/>
      <c r="G90" s="183"/>
      <c r="H90" s="183"/>
      <c r="I90" s="183"/>
      <c r="J90" s="183"/>
      <c r="K90" s="183"/>
    </row>
    <row r="91" spans="1:11" s="182" customFormat="1" ht="63">
      <c r="A91" s="196" t="s">
        <v>644</v>
      </c>
      <c r="B91" s="202" t="s">
        <v>645</v>
      </c>
      <c r="C91" s="198">
        <v>25.6</v>
      </c>
      <c r="D91" s="199">
        <v>25.6</v>
      </c>
      <c r="E91" s="199">
        <v>25.6</v>
      </c>
      <c r="F91" s="183"/>
      <c r="G91" s="183"/>
      <c r="H91" s="183"/>
      <c r="I91" s="183"/>
      <c r="J91" s="183"/>
      <c r="K91" s="183"/>
    </row>
    <row r="92" spans="1:11" s="182" customFormat="1" ht="47.25">
      <c r="A92" s="196" t="s">
        <v>646</v>
      </c>
      <c r="B92" s="202" t="s">
        <v>647</v>
      </c>
      <c r="C92" s="200">
        <f t="shared" ref="C92:E92" si="37">C93</f>
        <v>31.4</v>
      </c>
      <c r="D92" s="201">
        <f t="shared" si="37"/>
        <v>31.4</v>
      </c>
      <c r="E92" s="201">
        <f t="shared" si="37"/>
        <v>31.4</v>
      </c>
      <c r="F92" s="183"/>
      <c r="G92" s="183"/>
      <c r="H92" s="183"/>
      <c r="I92" s="183"/>
      <c r="J92" s="183"/>
      <c r="K92" s="183"/>
    </row>
    <row r="93" spans="1:11" s="182" customFormat="1" ht="63">
      <c r="A93" s="196" t="s">
        <v>648</v>
      </c>
      <c r="B93" s="202" t="s">
        <v>649</v>
      </c>
      <c r="C93" s="198">
        <v>31.4</v>
      </c>
      <c r="D93" s="199">
        <v>31.4</v>
      </c>
      <c r="E93" s="199">
        <v>31.4</v>
      </c>
      <c r="F93" s="183"/>
      <c r="G93" s="183"/>
      <c r="H93" s="183"/>
      <c r="I93" s="183"/>
      <c r="J93" s="183"/>
      <c r="K93" s="183"/>
    </row>
    <row r="94" spans="1:11" s="182" customFormat="1" ht="63">
      <c r="A94" s="208" t="s">
        <v>650</v>
      </c>
      <c r="B94" s="202" t="s">
        <v>651</v>
      </c>
      <c r="C94" s="200">
        <f t="shared" ref="C94:E94" si="38">C95</f>
        <v>7</v>
      </c>
      <c r="D94" s="201">
        <f t="shared" si="38"/>
        <v>7</v>
      </c>
      <c r="E94" s="201">
        <f t="shared" si="38"/>
        <v>7</v>
      </c>
      <c r="F94" s="183"/>
      <c r="G94" s="183"/>
      <c r="H94" s="183"/>
      <c r="I94" s="183"/>
      <c r="J94" s="183"/>
      <c r="K94" s="183"/>
    </row>
    <row r="95" spans="1:11" s="182" customFormat="1" ht="94.5">
      <c r="A95" s="196" t="s">
        <v>652</v>
      </c>
      <c r="B95" s="202" t="s">
        <v>653</v>
      </c>
      <c r="C95" s="198">
        <v>7</v>
      </c>
      <c r="D95" s="199">
        <v>7</v>
      </c>
      <c r="E95" s="199">
        <v>7</v>
      </c>
      <c r="F95" s="183"/>
      <c r="G95" s="183"/>
      <c r="H95" s="183"/>
      <c r="I95" s="183"/>
      <c r="J95" s="183"/>
      <c r="K95" s="183"/>
    </row>
    <row r="96" spans="1:11" s="182" customFormat="1" ht="47.25">
      <c r="A96" s="196" t="s">
        <v>654</v>
      </c>
      <c r="B96" s="202" t="s">
        <v>655</v>
      </c>
      <c r="C96" s="200">
        <f t="shared" ref="C96:E96" si="39">C97</f>
        <v>20.100000000000001</v>
      </c>
      <c r="D96" s="201">
        <f t="shared" si="39"/>
        <v>20.100000000000001</v>
      </c>
      <c r="E96" s="201">
        <f t="shared" si="39"/>
        <v>20.100000000000001</v>
      </c>
      <c r="F96" s="183"/>
      <c r="G96" s="183"/>
      <c r="H96" s="183"/>
      <c r="I96" s="183"/>
      <c r="J96" s="183"/>
      <c r="K96" s="183"/>
    </row>
    <row r="97" spans="1:11" s="182" customFormat="1" ht="63">
      <c r="A97" s="196" t="s">
        <v>656</v>
      </c>
      <c r="B97" s="202" t="s">
        <v>657</v>
      </c>
      <c r="C97" s="198">
        <v>20.100000000000001</v>
      </c>
      <c r="D97" s="199">
        <v>20.100000000000001</v>
      </c>
      <c r="E97" s="199">
        <v>20.100000000000001</v>
      </c>
      <c r="F97" s="183"/>
      <c r="G97" s="183"/>
      <c r="H97" s="183"/>
      <c r="I97" s="183"/>
      <c r="J97" s="183"/>
      <c r="K97" s="183"/>
    </row>
    <row r="98" spans="1:11" s="182" customFormat="1" ht="31.5">
      <c r="A98" s="196" t="s">
        <v>658</v>
      </c>
      <c r="B98" s="202" t="s">
        <v>659</v>
      </c>
      <c r="C98" s="200">
        <f t="shared" ref="C98:E98" si="40">C99+C100</f>
        <v>187.29999999999998</v>
      </c>
      <c r="D98" s="201">
        <f t="shared" si="40"/>
        <v>187.29999999999998</v>
      </c>
      <c r="E98" s="201">
        <f t="shared" si="40"/>
        <v>187.29999999999998</v>
      </c>
      <c r="F98" s="183"/>
      <c r="G98" s="183"/>
      <c r="H98" s="183"/>
      <c r="I98" s="183"/>
      <c r="J98" s="183"/>
      <c r="K98" s="183"/>
    </row>
    <row r="99" spans="1:11" s="182" customFormat="1" ht="47.25">
      <c r="A99" s="196" t="s">
        <v>660</v>
      </c>
      <c r="B99" s="202" t="s">
        <v>661</v>
      </c>
      <c r="C99" s="198">
        <v>169.39999999999998</v>
      </c>
      <c r="D99" s="199">
        <v>169.39999999999998</v>
      </c>
      <c r="E99" s="199">
        <v>169.39999999999998</v>
      </c>
      <c r="F99" s="183"/>
      <c r="G99" s="183"/>
      <c r="H99" s="183"/>
      <c r="I99" s="183"/>
      <c r="J99" s="183"/>
      <c r="K99" s="183"/>
    </row>
    <row r="100" spans="1:11" s="182" customFormat="1" ht="47.25">
      <c r="A100" s="196" t="s">
        <v>662</v>
      </c>
      <c r="B100" s="202" t="s">
        <v>663</v>
      </c>
      <c r="C100" s="198">
        <v>17.899999999999999</v>
      </c>
      <c r="D100" s="199">
        <v>17.899999999999999</v>
      </c>
      <c r="E100" s="199">
        <v>17.899999999999999</v>
      </c>
      <c r="F100" s="183"/>
      <c r="G100" s="183"/>
      <c r="H100" s="183"/>
      <c r="I100" s="183"/>
      <c r="J100" s="183"/>
      <c r="K100" s="183"/>
    </row>
    <row r="101" spans="1:11" s="182" customFormat="1" ht="47.25">
      <c r="A101" s="196" t="s">
        <v>664</v>
      </c>
      <c r="B101" s="202" t="s">
        <v>665</v>
      </c>
      <c r="C101" s="200">
        <f t="shared" ref="C101:E101" si="41">C102</f>
        <v>571.20000000000005</v>
      </c>
      <c r="D101" s="201">
        <f t="shared" si="41"/>
        <v>568</v>
      </c>
      <c r="E101" s="201">
        <f t="shared" si="41"/>
        <v>571</v>
      </c>
      <c r="F101" s="183"/>
      <c r="G101" s="183"/>
      <c r="H101" s="183"/>
      <c r="I101" s="183"/>
      <c r="J101" s="183"/>
      <c r="K101" s="183"/>
    </row>
    <row r="102" spans="1:11" s="182" customFormat="1" ht="63">
      <c r="A102" s="196" t="s">
        <v>666</v>
      </c>
      <c r="B102" s="202" t="s">
        <v>667</v>
      </c>
      <c r="C102" s="198">
        <v>571.20000000000005</v>
      </c>
      <c r="D102" s="199">
        <v>568</v>
      </c>
      <c r="E102" s="199">
        <v>571</v>
      </c>
      <c r="F102" s="183"/>
      <c r="G102" s="183"/>
      <c r="H102" s="183"/>
      <c r="I102" s="183"/>
      <c r="J102" s="183"/>
      <c r="K102" s="183"/>
    </row>
    <row r="103" spans="1:11" s="182" customFormat="1" ht="31.5">
      <c r="A103" s="191" t="s">
        <v>668</v>
      </c>
      <c r="B103" s="207" t="s">
        <v>669</v>
      </c>
      <c r="C103" s="193">
        <f t="shared" ref="C103:E103" si="42">C104</f>
        <v>235.5</v>
      </c>
      <c r="D103" s="194">
        <f t="shared" si="42"/>
        <v>235.5</v>
      </c>
      <c r="E103" s="194">
        <f t="shared" si="42"/>
        <v>235.5</v>
      </c>
      <c r="F103" s="183"/>
      <c r="G103" s="183"/>
      <c r="H103" s="183"/>
      <c r="I103" s="183"/>
      <c r="J103" s="183"/>
      <c r="K103" s="183"/>
    </row>
    <row r="104" spans="1:11" s="182" customFormat="1" ht="31.5">
      <c r="A104" s="196" t="s">
        <v>670</v>
      </c>
      <c r="B104" s="202" t="s">
        <v>671</v>
      </c>
      <c r="C104" s="198">
        <v>235.5</v>
      </c>
      <c r="D104" s="199">
        <v>235.5</v>
      </c>
      <c r="E104" s="199">
        <v>235.5</v>
      </c>
      <c r="F104" s="183"/>
      <c r="G104" s="183"/>
      <c r="H104" s="183"/>
      <c r="I104" s="183"/>
      <c r="J104" s="183"/>
      <c r="K104" s="183"/>
    </row>
    <row r="105" spans="1:11" s="182" customFormat="1" ht="78.75">
      <c r="A105" s="191" t="s">
        <v>825</v>
      </c>
      <c r="B105" s="207" t="s">
        <v>826</v>
      </c>
      <c r="C105" s="204">
        <f>C106</f>
        <v>569.4</v>
      </c>
      <c r="D105" s="205">
        <f t="shared" ref="D105:E106" si="43">D106</f>
        <v>0</v>
      </c>
      <c r="E105" s="205">
        <f t="shared" si="43"/>
        <v>0</v>
      </c>
      <c r="F105" s="183"/>
      <c r="G105" s="183"/>
      <c r="H105" s="183"/>
      <c r="I105" s="183"/>
      <c r="J105" s="183"/>
      <c r="K105" s="183"/>
    </row>
    <row r="106" spans="1:11" s="182" customFormat="1" ht="31.5">
      <c r="A106" s="196" t="s">
        <v>827</v>
      </c>
      <c r="B106" s="202" t="s">
        <v>828</v>
      </c>
      <c r="C106" s="198">
        <f>C107</f>
        <v>569.4</v>
      </c>
      <c r="D106" s="199">
        <f t="shared" si="43"/>
        <v>0</v>
      </c>
      <c r="E106" s="199">
        <f t="shared" si="43"/>
        <v>0</v>
      </c>
      <c r="F106" s="183"/>
      <c r="G106" s="183"/>
      <c r="H106" s="183"/>
      <c r="I106" s="183"/>
      <c r="J106" s="183"/>
      <c r="K106" s="183"/>
    </row>
    <row r="107" spans="1:11" s="182" customFormat="1" ht="47.25">
      <c r="A107" s="196" t="s">
        <v>829</v>
      </c>
      <c r="B107" s="202" t="s">
        <v>830</v>
      </c>
      <c r="C107" s="198">
        <v>569.4</v>
      </c>
      <c r="D107" s="199">
        <v>0</v>
      </c>
      <c r="E107" s="199">
        <v>0</v>
      </c>
      <c r="F107" s="183"/>
      <c r="G107" s="183"/>
      <c r="H107" s="183"/>
      <c r="I107" s="183"/>
      <c r="J107" s="183"/>
      <c r="K107" s="183"/>
    </row>
    <row r="108" spans="1:11" s="182" customFormat="1">
      <c r="A108" s="191" t="s">
        <v>672</v>
      </c>
      <c r="B108" s="207" t="s">
        <v>673</v>
      </c>
      <c r="C108" s="193">
        <f t="shared" ref="C108:E109" si="44">C109</f>
        <v>1468.3</v>
      </c>
      <c r="D108" s="194">
        <f t="shared" si="44"/>
        <v>1468.3</v>
      </c>
      <c r="E108" s="194">
        <f t="shared" si="44"/>
        <v>1468.3</v>
      </c>
      <c r="F108" s="183"/>
      <c r="G108" s="183"/>
      <c r="H108" s="183"/>
      <c r="I108" s="183"/>
      <c r="J108" s="183"/>
      <c r="K108" s="183"/>
    </row>
    <row r="109" spans="1:11" s="182" customFormat="1">
      <c r="A109" s="196" t="s">
        <v>674</v>
      </c>
      <c r="B109" s="202" t="s">
        <v>675</v>
      </c>
      <c r="C109" s="200">
        <f t="shared" si="44"/>
        <v>1468.3</v>
      </c>
      <c r="D109" s="201">
        <f t="shared" si="44"/>
        <v>1468.3</v>
      </c>
      <c r="E109" s="201">
        <f t="shared" si="44"/>
        <v>1468.3</v>
      </c>
      <c r="F109" s="183"/>
      <c r="G109" s="183"/>
      <c r="H109" s="183"/>
      <c r="I109" s="183"/>
      <c r="J109" s="183"/>
      <c r="K109" s="183"/>
    </row>
    <row r="110" spans="1:11" s="182" customFormat="1" ht="31.5">
      <c r="A110" s="196" t="s">
        <v>676</v>
      </c>
      <c r="B110" s="202" t="s">
        <v>677</v>
      </c>
      <c r="C110" s="198">
        <v>1468.3</v>
      </c>
      <c r="D110" s="199">
        <v>1468.3</v>
      </c>
      <c r="E110" s="199">
        <v>1468.3</v>
      </c>
      <c r="F110" s="183"/>
      <c r="G110" s="183"/>
      <c r="H110" s="183"/>
      <c r="I110" s="183"/>
      <c r="J110" s="183"/>
      <c r="K110" s="183"/>
    </row>
    <row r="111" spans="1:11" s="182" customFormat="1">
      <c r="A111" s="191" t="s">
        <v>678</v>
      </c>
      <c r="B111" s="209" t="s">
        <v>679</v>
      </c>
      <c r="C111" s="210">
        <f>C112</f>
        <v>425.3</v>
      </c>
      <c r="D111" s="211">
        <f t="shared" ref="D111:E111" si="45">D112</f>
        <v>0</v>
      </c>
      <c r="E111" s="211">
        <f t="shared" si="45"/>
        <v>0</v>
      </c>
      <c r="F111" s="183"/>
      <c r="G111" s="183"/>
      <c r="H111" s="183"/>
      <c r="I111" s="183"/>
      <c r="J111" s="183"/>
      <c r="K111" s="183"/>
    </row>
    <row r="112" spans="1:11" s="182" customFormat="1">
      <c r="A112" s="212" t="s">
        <v>680</v>
      </c>
      <c r="B112" s="213" t="s">
        <v>681</v>
      </c>
      <c r="C112" s="214">
        <f>C113+C114</f>
        <v>425.3</v>
      </c>
      <c r="D112" s="215">
        <f t="shared" ref="D112:E112" si="46">D113+D114</f>
        <v>0</v>
      </c>
      <c r="E112" s="215">
        <f t="shared" si="46"/>
        <v>0</v>
      </c>
      <c r="F112" s="183"/>
      <c r="G112" s="183"/>
      <c r="H112" s="183"/>
      <c r="I112" s="183"/>
      <c r="J112" s="183"/>
      <c r="K112" s="183"/>
    </row>
    <row r="113" spans="1:11" s="182" customFormat="1" ht="63">
      <c r="A113" s="216" t="s">
        <v>682</v>
      </c>
      <c r="B113" s="217" t="s">
        <v>683</v>
      </c>
      <c r="C113" s="218">
        <v>250</v>
      </c>
      <c r="D113" s="219">
        <v>0</v>
      </c>
      <c r="E113" s="219">
        <v>0</v>
      </c>
      <c r="F113" s="183"/>
      <c r="G113" s="183"/>
      <c r="H113" s="183"/>
      <c r="I113" s="183"/>
      <c r="J113" s="183"/>
      <c r="K113" s="183"/>
    </row>
    <row r="114" spans="1:11" s="182" customFormat="1" ht="63">
      <c r="A114" s="216" t="s">
        <v>682</v>
      </c>
      <c r="B114" s="217" t="s">
        <v>684</v>
      </c>
      <c r="C114" s="218">
        <v>175.3</v>
      </c>
      <c r="D114" s="219">
        <v>0</v>
      </c>
      <c r="E114" s="219">
        <v>0</v>
      </c>
      <c r="F114" s="183"/>
      <c r="G114" s="183"/>
      <c r="H114" s="183"/>
      <c r="I114" s="183"/>
      <c r="J114" s="183"/>
      <c r="K114" s="183"/>
    </row>
    <row r="115" spans="1:11" s="182" customFormat="1">
      <c r="A115" s="191" t="s">
        <v>685</v>
      </c>
      <c r="B115" s="192" t="s">
        <v>686</v>
      </c>
      <c r="C115" s="193">
        <f t="shared" ref="C115:E115" si="47">C116</f>
        <v>1057100.3999999999</v>
      </c>
      <c r="D115" s="194">
        <f t="shared" si="47"/>
        <v>929274.60000000009</v>
      </c>
      <c r="E115" s="194">
        <f t="shared" si="47"/>
        <v>816963.10000000009</v>
      </c>
      <c r="F115" s="183"/>
      <c r="G115" s="183"/>
      <c r="H115" s="183"/>
      <c r="I115" s="183"/>
      <c r="J115" s="183"/>
      <c r="K115" s="183"/>
    </row>
    <row r="116" spans="1:11" s="182" customFormat="1" ht="31.5">
      <c r="A116" s="220" t="s">
        <v>687</v>
      </c>
      <c r="B116" s="192" t="s">
        <v>688</v>
      </c>
      <c r="C116" s="193">
        <f>C159+C122+C174+C117</f>
        <v>1057100.3999999999</v>
      </c>
      <c r="D116" s="194">
        <f>D159+D122+D174+D117</f>
        <v>929274.60000000009</v>
      </c>
      <c r="E116" s="194">
        <f>E159+E122+E174+E117</f>
        <v>816963.10000000009</v>
      </c>
      <c r="F116" s="183"/>
      <c r="G116" s="183"/>
      <c r="H116" s="183"/>
      <c r="I116" s="183"/>
      <c r="J116" s="183"/>
      <c r="K116" s="183"/>
    </row>
    <row r="117" spans="1:11" s="182" customFormat="1">
      <c r="A117" s="220" t="s">
        <v>689</v>
      </c>
      <c r="B117" s="192" t="s">
        <v>690</v>
      </c>
      <c r="C117" s="193">
        <f>C120+C118</f>
        <v>8853</v>
      </c>
      <c r="D117" s="194">
        <f t="shared" ref="D117:E117" si="48">D120+D118</f>
        <v>0</v>
      </c>
      <c r="E117" s="194">
        <f t="shared" si="48"/>
        <v>0</v>
      </c>
      <c r="F117" s="183"/>
      <c r="G117" s="183"/>
      <c r="H117" s="183"/>
      <c r="I117" s="183"/>
      <c r="J117" s="183"/>
      <c r="K117" s="183"/>
    </row>
    <row r="118" spans="1:11" s="182" customFormat="1">
      <c r="A118" s="221" t="s">
        <v>811</v>
      </c>
      <c r="B118" s="197" t="s">
        <v>812</v>
      </c>
      <c r="C118" s="200">
        <f>C119</f>
        <v>853</v>
      </c>
      <c r="D118" s="201">
        <f t="shared" ref="D118:E118" si="49">D119</f>
        <v>0</v>
      </c>
      <c r="E118" s="201">
        <f t="shared" si="49"/>
        <v>0</v>
      </c>
      <c r="F118" s="183"/>
      <c r="G118" s="183"/>
      <c r="H118" s="183"/>
      <c r="I118" s="183"/>
      <c r="J118" s="183"/>
      <c r="K118" s="183"/>
    </row>
    <row r="119" spans="1:11" s="182" customFormat="1" ht="31.5">
      <c r="A119" s="221" t="s">
        <v>813</v>
      </c>
      <c r="B119" s="197" t="s">
        <v>814</v>
      </c>
      <c r="C119" s="200">
        <v>853</v>
      </c>
      <c r="D119" s="201">
        <v>0</v>
      </c>
      <c r="E119" s="201">
        <v>0</v>
      </c>
      <c r="F119" s="183"/>
      <c r="G119" s="183"/>
      <c r="H119" s="183"/>
      <c r="I119" s="183"/>
      <c r="J119" s="183"/>
      <c r="K119" s="183"/>
    </row>
    <row r="120" spans="1:11" s="182" customFormat="1">
      <c r="A120" s="221" t="s">
        <v>691</v>
      </c>
      <c r="B120" s="197" t="s">
        <v>692</v>
      </c>
      <c r="C120" s="200">
        <f>C121</f>
        <v>8000</v>
      </c>
      <c r="D120" s="201">
        <f t="shared" ref="D120:E120" si="50">D121</f>
        <v>0</v>
      </c>
      <c r="E120" s="201">
        <f t="shared" si="50"/>
        <v>0</v>
      </c>
      <c r="F120" s="183"/>
      <c r="G120" s="183"/>
      <c r="H120" s="183"/>
      <c r="I120" s="183"/>
      <c r="J120" s="183"/>
      <c r="K120" s="183"/>
    </row>
    <row r="121" spans="1:11" s="182" customFormat="1" ht="31.5">
      <c r="A121" s="221" t="s">
        <v>693</v>
      </c>
      <c r="B121" s="197" t="s">
        <v>694</v>
      </c>
      <c r="C121" s="200">
        <v>8000</v>
      </c>
      <c r="D121" s="201">
        <v>0</v>
      </c>
      <c r="E121" s="201">
        <v>0</v>
      </c>
      <c r="F121" s="183"/>
      <c r="G121" s="183"/>
      <c r="H121" s="183"/>
      <c r="I121" s="183"/>
      <c r="J121" s="183"/>
      <c r="K121" s="183"/>
    </row>
    <row r="122" spans="1:11" s="182" customFormat="1">
      <c r="A122" s="222" t="s">
        <v>695</v>
      </c>
      <c r="B122" s="223" t="s">
        <v>696</v>
      </c>
      <c r="C122" s="193">
        <f>C141+C123+C129+C139+C137+C127+C133+C131+C135</f>
        <v>404371.5</v>
      </c>
      <c r="D122" s="194">
        <f t="shared" ref="D122:E122" si="51">D141+D123+D129+D139+D137+D127+D133+D131+D135</f>
        <v>291985.10000000003</v>
      </c>
      <c r="E122" s="194">
        <f t="shared" si="51"/>
        <v>181999.30000000002</v>
      </c>
      <c r="F122" s="183"/>
      <c r="G122" s="183"/>
      <c r="H122" s="183"/>
      <c r="I122" s="183"/>
      <c r="J122" s="183"/>
      <c r="K122" s="183"/>
    </row>
    <row r="123" spans="1:11" s="182" customFormat="1" ht="47.25">
      <c r="A123" s="224" t="s">
        <v>697</v>
      </c>
      <c r="B123" s="225" t="s">
        <v>698</v>
      </c>
      <c r="C123" s="200">
        <f t="shared" ref="C123:E123" si="52">C124+C125+C126</f>
        <v>91723.4</v>
      </c>
      <c r="D123" s="201">
        <f t="shared" si="52"/>
        <v>76719.8</v>
      </c>
      <c r="E123" s="201">
        <f t="shared" si="52"/>
        <v>79788.599999999991</v>
      </c>
      <c r="F123" s="183"/>
      <c r="G123" s="183"/>
      <c r="H123" s="183"/>
      <c r="I123" s="183"/>
      <c r="J123" s="183"/>
      <c r="K123" s="183"/>
    </row>
    <row r="124" spans="1:11" s="182" customFormat="1" ht="78.75">
      <c r="A124" s="224" t="s">
        <v>699</v>
      </c>
      <c r="B124" s="197" t="s">
        <v>700</v>
      </c>
      <c r="C124" s="198">
        <f>55318.2+305.2</f>
        <v>55623.399999999994</v>
      </c>
      <c r="D124" s="199">
        <f>57530.9+317.4</f>
        <v>57848.3</v>
      </c>
      <c r="E124" s="199">
        <f>59832.2+330</f>
        <v>60162.2</v>
      </c>
      <c r="F124" s="183"/>
      <c r="G124" s="183"/>
      <c r="H124" s="183"/>
      <c r="I124" s="183"/>
      <c r="J124" s="183"/>
      <c r="K124" s="183"/>
    </row>
    <row r="125" spans="1:11" s="182" customFormat="1" ht="78.75">
      <c r="A125" s="224" t="s">
        <v>699</v>
      </c>
      <c r="B125" s="197" t="s">
        <v>701</v>
      </c>
      <c r="C125" s="198">
        <f>15080.4+17954.3</f>
        <v>33034.699999999997</v>
      </c>
      <c r="D125" s="199">
        <v>15683.6</v>
      </c>
      <c r="E125" s="199">
        <v>16311</v>
      </c>
      <c r="F125" s="183"/>
      <c r="G125" s="183"/>
      <c r="H125" s="183"/>
      <c r="I125" s="183"/>
      <c r="J125" s="183"/>
      <c r="K125" s="183"/>
    </row>
    <row r="126" spans="1:11" s="182" customFormat="1" ht="78.75">
      <c r="A126" s="224" t="s">
        <v>699</v>
      </c>
      <c r="B126" s="197" t="s">
        <v>702</v>
      </c>
      <c r="C126" s="198">
        <f>3047.4+17.9</f>
        <v>3065.3</v>
      </c>
      <c r="D126" s="199">
        <f>3169.3+18.6</f>
        <v>3187.9</v>
      </c>
      <c r="E126" s="199">
        <f>3296.1+19.3</f>
        <v>3315.4</v>
      </c>
      <c r="F126" s="183"/>
      <c r="G126" s="183"/>
      <c r="H126" s="183"/>
      <c r="I126" s="183"/>
      <c r="J126" s="183"/>
      <c r="K126" s="183"/>
    </row>
    <row r="127" spans="1:11" s="182" customFormat="1" ht="63">
      <c r="A127" s="224" t="s">
        <v>703</v>
      </c>
      <c r="B127" s="197" t="s">
        <v>704</v>
      </c>
      <c r="C127" s="198">
        <f>C128</f>
        <v>60390</v>
      </c>
      <c r="D127" s="199">
        <f t="shared" ref="D127:E127" si="53">D128</f>
        <v>0</v>
      </c>
      <c r="E127" s="199">
        <f t="shared" si="53"/>
        <v>0</v>
      </c>
      <c r="F127" s="183"/>
      <c r="G127" s="183"/>
      <c r="H127" s="183"/>
      <c r="I127" s="183"/>
      <c r="J127" s="183"/>
      <c r="K127" s="183"/>
    </row>
    <row r="128" spans="1:11" s="182" customFormat="1" ht="47.25">
      <c r="A128" s="224" t="s">
        <v>703</v>
      </c>
      <c r="B128" s="197" t="s">
        <v>705</v>
      </c>
      <c r="C128" s="198">
        <v>60390</v>
      </c>
      <c r="D128" s="199">
        <v>0</v>
      </c>
      <c r="E128" s="199">
        <v>0</v>
      </c>
      <c r="F128" s="183"/>
      <c r="G128" s="183"/>
      <c r="H128" s="183"/>
      <c r="I128" s="183"/>
      <c r="J128" s="183"/>
      <c r="K128" s="183"/>
    </row>
    <row r="129" spans="1:11" s="182" customFormat="1" ht="31.5">
      <c r="A129" s="224" t="s">
        <v>706</v>
      </c>
      <c r="B129" s="197" t="s">
        <v>707</v>
      </c>
      <c r="C129" s="200">
        <f t="shared" ref="C129:E129" si="54">C130</f>
        <v>22916.7</v>
      </c>
      <c r="D129" s="201">
        <f t="shared" si="54"/>
        <v>22356.6</v>
      </c>
      <c r="E129" s="201">
        <f t="shared" si="54"/>
        <v>21334.6</v>
      </c>
      <c r="F129" s="183"/>
      <c r="G129" s="183"/>
      <c r="H129" s="183"/>
      <c r="I129" s="183"/>
      <c r="J129" s="183"/>
      <c r="K129" s="183"/>
    </row>
    <row r="130" spans="1:11" s="182" customFormat="1" ht="47.25">
      <c r="A130" s="224" t="s">
        <v>708</v>
      </c>
      <c r="B130" s="197" t="s">
        <v>709</v>
      </c>
      <c r="C130" s="198">
        <v>22916.7</v>
      </c>
      <c r="D130" s="199">
        <v>22356.6</v>
      </c>
      <c r="E130" s="199">
        <v>21334.6</v>
      </c>
      <c r="F130" s="183"/>
      <c r="G130" s="183"/>
      <c r="H130" s="183"/>
      <c r="I130" s="183"/>
      <c r="J130" s="183"/>
      <c r="K130" s="183"/>
    </row>
    <row r="131" spans="1:11" s="182" customFormat="1">
      <c r="A131" s="226" t="s">
        <v>710</v>
      </c>
      <c r="B131" s="227" t="s">
        <v>711</v>
      </c>
      <c r="C131" s="198">
        <f>C132</f>
        <v>2375.3000000000002</v>
      </c>
      <c r="D131" s="199">
        <f t="shared" ref="D131:E131" si="55">D132</f>
        <v>0</v>
      </c>
      <c r="E131" s="199">
        <f t="shared" si="55"/>
        <v>0</v>
      </c>
      <c r="F131" s="183"/>
      <c r="G131" s="183"/>
      <c r="H131" s="183"/>
      <c r="I131" s="183"/>
      <c r="J131" s="183"/>
      <c r="K131" s="183"/>
    </row>
    <row r="132" spans="1:11" s="182" customFormat="1" ht="31.5">
      <c r="A132" s="226" t="s">
        <v>712</v>
      </c>
      <c r="B132" s="227" t="s">
        <v>713</v>
      </c>
      <c r="C132" s="198">
        <v>2375.3000000000002</v>
      </c>
      <c r="D132" s="199">
        <v>0</v>
      </c>
      <c r="E132" s="199">
        <v>0</v>
      </c>
      <c r="F132" s="183"/>
      <c r="G132" s="183"/>
      <c r="H132" s="183"/>
      <c r="I132" s="183"/>
      <c r="J132" s="183"/>
      <c r="K132" s="183"/>
    </row>
    <row r="133" spans="1:11" s="182" customFormat="1">
      <c r="A133" s="224" t="s">
        <v>714</v>
      </c>
      <c r="B133" s="228" t="s">
        <v>715</v>
      </c>
      <c r="C133" s="229">
        <f>C134</f>
        <v>28458.2</v>
      </c>
      <c r="D133" s="230">
        <f t="shared" ref="D133:E133" si="56">D134</f>
        <v>38056.9</v>
      </c>
      <c r="E133" s="230">
        <f t="shared" si="56"/>
        <v>0</v>
      </c>
      <c r="F133" s="183"/>
      <c r="G133" s="183"/>
      <c r="H133" s="183"/>
      <c r="I133" s="183"/>
      <c r="J133" s="183"/>
      <c r="K133" s="183"/>
    </row>
    <row r="134" spans="1:11" s="182" customFormat="1">
      <c r="A134" s="231" t="s">
        <v>716</v>
      </c>
      <c r="B134" s="232" t="s">
        <v>717</v>
      </c>
      <c r="C134" s="233">
        <v>28458.2</v>
      </c>
      <c r="D134" s="234">
        <v>38056.9</v>
      </c>
      <c r="E134" s="234">
        <v>0</v>
      </c>
      <c r="F134" s="183"/>
      <c r="G134" s="183"/>
      <c r="H134" s="183"/>
      <c r="I134" s="183"/>
      <c r="J134" s="183"/>
      <c r="K134" s="183"/>
    </row>
    <row r="135" spans="1:11" s="182" customFormat="1">
      <c r="A135" s="231" t="s">
        <v>718</v>
      </c>
      <c r="B135" s="232" t="s">
        <v>719</v>
      </c>
      <c r="C135" s="233">
        <f>C136</f>
        <v>105</v>
      </c>
      <c r="D135" s="234">
        <f t="shared" ref="D135:E135" si="57">D136</f>
        <v>0</v>
      </c>
      <c r="E135" s="234">
        <f t="shared" si="57"/>
        <v>0</v>
      </c>
      <c r="F135" s="183"/>
      <c r="G135" s="183"/>
      <c r="H135" s="183"/>
      <c r="I135" s="183"/>
      <c r="J135" s="183"/>
      <c r="K135" s="183"/>
    </row>
    <row r="136" spans="1:11" s="182" customFormat="1">
      <c r="A136" s="231" t="s">
        <v>720</v>
      </c>
      <c r="B136" s="232" t="s">
        <v>721</v>
      </c>
      <c r="C136" s="233">
        <v>105</v>
      </c>
      <c r="D136" s="234">
        <v>0</v>
      </c>
      <c r="E136" s="234">
        <v>0</v>
      </c>
      <c r="F136" s="183"/>
      <c r="G136" s="183"/>
      <c r="H136" s="183"/>
      <c r="I136" s="183"/>
      <c r="J136" s="183"/>
      <c r="K136" s="183"/>
    </row>
    <row r="137" spans="1:11" s="182" customFormat="1">
      <c r="A137" s="235" t="s">
        <v>722</v>
      </c>
      <c r="B137" s="236" t="s">
        <v>723</v>
      </c>
      <c r="C137" s="237">
        <f t="shared" ref="C137:E137" si="58">C138</f>
        <v>12669</v>
      </c>
      <c r="D137" s="238">
        <f t="shared" si="58"/>
        <v>0</v>
      </c>
      <c r="E137" s="238">
        <f t="shared" si="58"/>
        <v>0</v>
      </c>
      <c r="F137" s="183"/>
      <c r="G137" s="183"/>
      <c r="H137" s="183"/>
      <c r="I137" s="183"/>
      <c r="J137" s="183"/>
      <c r="K137" s="183"/>
    </row>
    <row r="138" spans="1:11" s="182" customFormat="1" ht="31.5">
      <c r="A138" s="235" t="s">
        <v>724</v>
      </c>
      <c r="B138" s="236" t="s">
        <v>725</v>
      </c>
      <c r="C138" s="239">
        <v>12669</v>
      </c>
      <c r="D138" s="240">
        <v>0</v>
      </c>
      <c r="E138" s="240">
        <v>0</v>
      </c>
      <c r="F138" s="183"/>
      <c r="G138" s="183"/>
      <c r="H138" s="183"/>
      <c r="I138" s="183"/>
      <c r="J138" s="183"/>
      <c r="K138" s="183"/>
    </row>
    <row r="139" spans="1:11" s="182" customFormat="1">
      <c r="A139" s="224" t="s">
        <v>726</v>
      </c>
      <c r="B139" s="197" t="s">
        <v>727</v>
      </c>
      <c r="C139" s="200">
        <f t="shared" ref="C139:E139" si="59">C140</f>
        <v>10563.1</v>
      </c>
      <c r="D139" s="201">
        <f t="shared" si="59"/>
        <v>73864.899999999994</v>
      </c>
      <c r="E139" s="201">
        <f t="shared" si="59"/>
        <v>0</v>
      </c>
      <c r="F139" s="183"/>
      <c r="G139" s="183"/>
      <c r="H139" s="183"/>
      <c r="I139" s="183"/>
      <c r="J139" s="183"/>
      <c r="K139" s="183"/>
    </row>
    <row r="140" spans="1:11" s="182" customFormat="1" ht="31.5">
      <c r="A140" s="224" t="s">
        <v>728</v>
      </c>
      <c r="B140" s="197" t="s">
        <v>729</v>
      </c>
      <c r="C140" s="198">
        <f>11736.9-1173.8</f>
        <v>10563.1</v>
      </c>
      <c r="D140" s="199">
        <v>73864.899999999994</v>
      </c>
      <c r="E140" s="199">
        <v>0</v>
      </c>
      <c r="F140" s="183"/>
      <c r="G140" s="183"/>
      <c r="H140" s="183"/>
      <c r="I140" s="183"/>
      <c r="J140" s="183"/>
      <c r="K140" s="183"/>
    </row>
    <row r="141" spans="1:11" s="182" customFormat="1">
      <c r="A141" s="241" t="s">
        <v>730</v>
      </c>
      <c r="B141" s="242" t="s">
        <v>731</v>
      </c>
      <c r="C141" s="200">
        <f>SUM(C142:C158)</f>
        <v>175170.80000000002</v>
      </c>
      <c r="D141" s="201">
        <f t="shared" ref="D141:E141" si="60">SUM(D142:D158)</f>
        <v>80986.900000000009</v>
      </c>
      <c r="E141" s="201">
        <f t="shared" si="60"/>
        <v>80876.100000000006</v>
      </c>
      <c r="F141" s="183"/>
      <c r="G141" s="183"/>
      <c r="H141" s="183"/>
      <c r="I141" s="183"/>
      <c r="J141" s="183"/>
      <c r="K141" s="183"/>
    </row>
    <row r="142" spans="1:11" s="182" customFormat="1" ht="31.5">
      <c r="A142" s="224" t="s">
        <v>732</v>
      </c>
      <c r="B142" s="197" t="s">
        <v>733</v>
      </c>
      <c r="C142" s="198">
        <v>178.5</v>
      </c>
      <c r="D142" s="199">
        <v>178.5</v>
      </c>
      <c r="E142" s="199">
        <v>178.5</v>
      </c>
      <c r="F142" s="183"/>
      <c r="G142" s="183"/>
      <c r="H142" s="183"/>
      <c r="I142" s="183"/>
      <c r="J142" s="183"/>
      <c r="K142" s="183"/>
    </row>
    <row r="143" spans="1:11" s="182" customFormat="1" ht="31.5">
      <c r="A143" s="224" t="s">
        <v>732</v>
      </c>
      <c r="B143" s="197" t="s">
        <v>734</v>
      </c>
      <c r="C143" s="198">
        <v>3080.9</v>
      </c>
      <c r="D143" s="199">
        <v>3080.9</v>
      </c>
      <c r="E143" s="199">
        <v>3080.9</v>
      </c>
      <c r="F143" s="183"/>
      <c r="G143" s="183"/>
      <c r="H143" s="183"/>
      <c r="I143" s="183"/>
      <c r="J143" s="183"/>
      <c r="K143" s="183"/>
    </row>
    <row r="144" spans="1:11" s="182" customFormat="1" ht="31.5">
      <c r="A144" s="224" t="s">
        <v>732</v>
      </c>
      <c r="B144" s="197" t="s">
        <v>735</v>
      </c>
      <c r="C144" s="198">
        <v>46781.7</v>
      </c>
      <c r="D144" s="199">
        <v>46781.7</v>
      </c>
      <c r="E144" s="199">
        <v>46781.7</v>
      </c>
      <c r="F144" s="183"/>
      <c r="G144" s="183"/>
      <c r="H144" s="183"/>
      <c r="I144" s="183"/>
      <c r="J144" s="183"/>
      <c r="K144" s="183"/>
    </row>
    <row r="145" spans="1:11" s="182" customFormat="1" ht="31.5">
      <c r="A145" s="224" t="s">
        <v>736</v>
      </c>
      <c r="B145" s="197" t="s">
        <v>737</v>
      </c>
      <c r="C145" s="198">
        <f>569.6+273.3</f>
        <v>842.90000000000009</v>
      </c>
      <c r="D145" s="199">
        <v>569.6</v>
      </c>
      <c r="E145" s="199">
        <v>569.6</v>
      </c>
      <c r="F145" s="183"/>
      <c r="G145" s="183"/>
      <c r="H145" s="183"/>
      <c r="I145" s="183"/>
      <c r="J145" s="183"/>
      <c r="K145" s="183"/>
    </row>
    <row r="146" spans="1:11" s="182" customFormat="1" ht="31.5">
      <c r="A146" s="224" t="s">
        <v>732</v>
      </c>
      <c r="B146" s="197" t="s">
        <v>738</v>
      </c>
      <c r="C146" s="198">
        <v>30265.4</v>
      </c>
      <c r="D146" s="199">
        <v>30265.4</v>
      </c>
      <c r="E146" s="199">
        <v>30265.4</v>
      </c>
      <c r="F146" s="183"/>
      <c r="G146" s="183"/>
      <c r="H146" s="183"/>
      <c r="I146" s="183"/>
      <c r="J146" s="183"/>
      <c r="K146" s="183"/>
    </row>
    <row r="147" spans="1:11" s="182" customFormat="1" ht="31.5">
      <c r="A147" s="243" t="s">
        <v>732</v>
      </c>
      <c r="B147" s="244" t="s">
        <v>739</v>
      </c>
      <c r="C147" s="245">
        <f>46862.1+10783.4</f>
        <v>57645.5</v>
      </c>
      <c r="D147" s="246">
        <v>0</v>
      </c>
      <c r="E147" s="246">
        <v>0</v>
      </c>
      <c r="F147" s="183"/>
      <c r="G147" s="183"/>
      <c r="H147" s="183"/>
      <c r="I147" s="183"/>
      <c r="J147" s="183"/>
      <c r="K147" s="183"/>
    </row>
    <row r="148" spans="1:11" s="182" customFormat="1" ht="31.5">
      <c r="A148" s="247" t="s">
        <v>736</v>
      </c>
      <c r="B148" s="248" t="s">
        <v>740</v>
      </c>
      <c r="C148" s="249">
        <v>5637.4</v>
      </c>
      <c r="D148" s="250">
        <v>0</v>
      </c>
      <c r="E148" s="250">
        <v>0</v>
      </c>
      <c r="F148" s="183"/>
      <c r="G148" s="183"/>
      <c r="H148" s="183"/>
      <c r="I148" s="183"/>
      <c r="J148" s="183"/>
      <c r="K148" s="183"/>
    </row>
    <row r="149" spans="1:11" s="182" customFormat="1" ht="31.5">
      <c r="A149" s="243" t="s">
        <v>732</v>
      </c>
      <c r="B149" s="244" t="s">
        <v>741</v>
      </c>
      <c r="C149" s="245">
        <f>24627.2-6875-483</f>
        <v>17269.2</v>
      </c>
      <c r="D149" s="246">
        <v>0</v>
      </c>
      <c r="E149" s="246">
        <v>0</v>
      </c>
      <c r="F149" s="183"/>
      <c r="G149" s="183"/>
      <c r="H149" s="183"/>
      <c r="I149" s="183"/>
      <c r="J149" s="183"/>
      <c r="K149" s="183"/>
    </row>
    <row r="150" spans="1:11" s="182" customFormat="1" ht="31.5">
      <c r="A150" s="243" t="s">
        <v>732</v>
      </c>
      <c r="B150" s="244" t="s">
        <v>742</v>
      </c>
      <c r="C150" s="245">
        <v>1485</v>
      </c>
      <c r="D150" s="246">
        <v>0</v>
      </c>
      <c r="E150" s="246">
        <v>0</v>
      </c>
      <c r="F150" s="183"/>
      <c r="G150" s="183"/>
      <c r="H150" s="183"/>
      <c r="I150" s="183"/>
      <c r="J150" s="183"/>
      <c r="K150" s="183"/>
    </row>
    <row r="151" spans="1:11" s="182" customFormat="1" ht="31.5">
      <c r="A151" s="243" t="s">
        <v>732</v>
      </c>
      <c r="B151" s="244" t="s">
        <v>743</v>
      </c>
      <c r="C151" s="245">
        <f>18+1173.4</f>
        <v>1191.4000000000001</v>
      </c>
      <c r="D151" s="246">
        <v>110.8</v>
      </c>
      <c r="E151" s="246">
        <v>0</v>
      </c>
      <c r="F151" s="183"/>
      <c r="G151" s="183"/>
      <c r="H151" s="183"/>
      <c r="I151" s="183"/>
      <c r="J151" s="183"/>
      <c r="K151" s="183"/>
    </row>
    <row r="152" spans="1:11" s="182" customFormat="1" ht="47.25">
      <c r="A152" s="243" t="s">
        <v>732</v>
      </c>
      <c r="B152" s="244" t="s">
        <v>744</v>
      </c>
      <c r="C152" s="245">
        <v>1200</v>
      </c>
      <c r="D152" s="246">
        <v>0</v>
      </c>
      <c r="E152" s="246">
        <v>0</v>
      </c>
      <c r="F152" s="183"/>
      <c r="G152" s="183"/>
      <c r="H152" s="183"/>
      <c r="I152" s="183"/>
      <c r="J152" s="183"/>
      <c r="K152" s="183"/>
    </row>
    <row r="153" spans="1:11" s="182" customFormat="1" ht="47.25">
      <c r="A153" s="208" t="s">
        <v>732</v>
      </c>
      <c r="B153" s="228" t="s">
        <v>745</v>
      </c>
      <c r="C153" s="251">
        <v>3711.6</v>
      </c>
      <c r="D153" s="252">
        <v>0</v>
      </c>
      <c r="E153" s="252">
        <v>0</v>
      </c>
      <c r="F153" s="183"/>
      <c r="G153" s="183"/>
      <c r="H153" s="183"/>
      <c r="I153" s="183"/>
      <c r="J153" s="183"/>
      <c r="K153" s="183"/>
    </row>
    <row r="154" spans="1:11" s="182" customFormat="1" ht="63">
      <c r="A154" s="208" t="s">
        <v>732</v>
      </c>
      <c r="B154" s="228" t="s">
        <v>746</v>
      </c>
      <c r="C154" s="251">
        <v>1003.9</v>
      </c>
      <c r="D154" s="252">
        <v>0</v>
      </c>
      <c r="E154" s="252">
        <v>0</v>
      </c>
      <c r="F154" s="183"/>
      <c r="G154" s="183"/>
      <c r="H154" s="183"/>
      <c r="I154" s="183"/>
      <c r="J154" s="183"/>
      <c r="K154" s="183"/>
    </row>
    <row r="155" spans="1:11" s="182" customFormat="1" ht="47.25">
      <c r="A155" s="208" t="s">
        <v>732</v>
      </c>
      <c r="B155" s="228" t="s">
        <v>747</v>
      </c>
      <c r="C155" s="251">
        <v>1476.5</v>
      </c>
      <c r="D155" s="252">
        <v>0</v>
      </c>
      <c r="E155" s="252">
        <v>0</v>
      </c>
      <c r="F155" s="183"/>
      <c r="G155" s="183"/>
      <c r="H155" s="183"/>
      <c r="I155" s="183"/>
      <c r="J155" s="183"/>
      <c r="K155" s="183"/>
    </row>
    <row r="156" spans="1:11" s="182" customFormat="1" ht="31.5">
      <c r="A156" s="208" t="s">
        <v>732</v>
      </c>
      <c r="B156" s="228" t="s">
        <v>748</v>
      </c>
      <c r="C156" s="251">
        <v>400</v>
      </c>
      <c r="D156" s="252">
        <v>0</v>
      </c>
      <c r="E156" s="252">
        <v>0</v>
      </c>
      <c r="F156" s="183"/>
      <c r="G156" s="183"/>
      <c r="H156" s="183"/>
      <c r="I156" s="183"/>
      <c r="J156" s="183"/>
      <c r="K156" s="183"/>
    </row>
    <row r="157" spans="1:11" s="182" customFormat="1" ht="31.5">
      <c r="A157" s="208" t="s">
        <v>732</v>
      </c>
      <c r="B157" s="228" t="s">
        <v>749</v>
      </c>
      <c r="C157" s="251">
        <v>245.2</v>
      </c>
      <c r="D157" s="252">
        <v>0</v>
      </c>
      <c r="E157" s="252">
        <v>0</v>
      </c>
      <c r="F157" s="183"/>
      <c r="G157" s="183"/>
      <c r="H157" s="183"/>
      <c r="I157" s="183"/>
      <c r="J157" s="183"/>
      <c r="K157" s="183"/>
    </row>
    <row r="158" spans="1:11" s="182" customFormat="1" ht="31.5">
      <c r="A158" s="208" t="s">
        <v>732</v>
      </c>
      <c r="B158" s="228" t="s">
        <v>815</v>
      </c>
      <c r="C158" s="251">
        <v>2755.7</v>
      </c>
      <c r="D158" s="252">
        <v>0</v>
      </c>
      <c r="E158" s="252">
        <v>0</v>
      </c>
      <c r="F158" s="183"/>
      <c r="G158" s="183"/>
      <c r="H158" s="183"/>
      <c r="I158" s="183"/>
      <c r="J158" s="183"/>
      <c r="K158" s="183"/>
    </row>
    <row r="159" spans="1:11" s="182" customFormat="1">
      <c r="A159" s="220" t="s">
        <v>750</v>
      </c>
      <c r="B159" s="192" t="s">
        <v>751</v>
      </c>
      <c r="C159" s="193">
        <f>C166+C168+C160+C162+C164</f>
        <v>612648.49999999988</v>
      </c>
      <c r="D159" s="194">
        <f t="shared" ref="D159:E159" si="61">D166+D168+D160+D162+D164</f>
        <v>607994.5</v>
      </c>
      <c r="E159" s="194">
        <f t="shared" si="61"/>
        <v>605668.80000000005</v>
      </c>
      <c r="F159" s="183"/>
      <c r="G159" s="183"/>
      <c r="H159" s="183"/>
      <c r="I159" s="183"/>
      <c r="J159" s="183"/>
      <c r="K159" s="183"/>
    </row>
    <row r="160" spans="1:11" s="182" customFormat="1" ht="47.25">
      <c r="A160" s="196" t="s">
        <v>752</v>
      </c>
      <c r="B160" s="197" t="s">
        <v>753</v>
      </c>
      <c r="C160" s="200">
        <f t="shared" ref="C160:E160" si="62">C161</f>
        <v>13605.2</v>
      </c>
      <c r="D160" s="201">
        <f t="shared" si="62"/>
        <v>13605.2</v>
      </c>
      <c r="E160" s="201">
        <f t="shared" si="62"/>
        <v>13605.2</v>
      </c>
      <c r="F160" s="183"/>
      <c r="G160" s="183"/>
      <c r="H160" s="183"/>
      <c r="I160" s="183"/>
      <c r="J160" s="183"/>
      <c r="K160" s="183"/>
    </row>
    <row r="161" spans="1:11" s="182" customFormat="1" ht="47.25">
      <c r="A161" s="221" t="s">
        <v>754</v>
      </c>
      <c r="B161" s="197" t="s">
        <v>755</v>
      </c>
      <c r="C161" s="198">
        <v>13605.2</v>
      </c>
      <c r="D161" s="199">
        <v>13605.2</v>
      </c>
      <c r="E161" s="199">
        <v>13605.2</v>
      </c>
      <c r="F161" s="183"/>
      <c r="G161" s="183"/>
      <c r="H161" s="183"/>
      <c r="I161" s="183"/>
      <c r="J161" s="183"/>
      <c r="K161" s="183"/>
    </row>
    <row r="162" spans="1:11" s="182" customFormat="1" ht="31.5">
      <c r="A162" s="196" t="s">
        <v>756</v>
      </c>
      <c r="B162" s="197" t="s">
        <v>757</v>
      </c>
      <c r="C162" s="200">
        <f t="shared" ref="C162:E162" si="63">C163</f>
        <v>210.3</v>
      </c>
      <c r="D162" s="201">
        <f t="shared" si="63"/>
        <v>19.100000000000001</v>
      </c>
      <c r="E162" s="201">
        <f t="shared" si="63"/>
        <v>20.7</v>
      </c>
      <c r="F162" s="183"/>
      <c r="G162" s="183"/>
      <c r="H162" s="183"/>
      <c r="I162" s="183"/>
      <c r="J162" s="183"/>
      <c r="K162" s="183"/>
    </row>
    <row r="163" spans="1:11" s="182" customFormat="1" ht="47.25">
      <c r="A163" s="196" t="s">
        <v>758</v>
      </c>
      <c r="B163" s="197" t="s">
        <v>759</v>
      </c>
      <c r="C163" s="198">
        <v>210.3</v>
      </c>
      <c r="D163" s="199">
        <v>19.100000000000001</v>
      </c>
      <c r="E163" s="199">
        <v>20.7</v>
      </c>
      <c r="F163" s="183"/>
      <c r="G163" s="183"/>
      <c r="H163" s="183"/>
      <c r="I163" s="183"/>
      <c r="J163" s="183"/>
      <c r="K163" s="183"/>
    </row>
    <row r="164" spans="1:11" s="182" customFormat="1" ht="47.25">
      <c r="A164" s="196" t="s">
        <v>760</v>
      </c>
      <c r="B164" s="228" t="s">
        <v>761</v>
      </c>
      <c r="C164" s="200">
        <f t="shared" ref="C164:E164" si="64">C165</f>
        <v>2874.8</v>
      </c>
      <c r="D164" s="201">
        <f t="shared" si="64"/>
        <v>2941.3</v>
      </c>
      <c r="E164" s="201">
        <f t="shared" si="64"/>
        <v>2977.8</v>
      </c>
      <c r="F164" s="183"/>
      <c r="G164" s="183"/>
      <c r="H164" s="183"/>
      <c r="I164" s="183"/>
      <c r="J164" s="183"/>
      <c r="K164" s="183"/>
    </row>
    <row r="165" spans="1:11" s="182" customFormat="1" ht="47.25">
      <c r="A165" s="216" t="s">
        <v>762</v>
      </c>
      <c r="B165" s="232" t="s">
        <v>763</v>
      </c>
      <c r="C165" s="233">
        <v>2874.8</v>
      </c>
      <c r="D165" s="234">
        <v>2941.3</v>
      </c>
      <c r="E165" s="234">
        <v>2977.8</v>
      </c>
      <c r="F165" s="183"/>
      <c r="G165" s="183"/>
      <c r="H165" s="183"/>
      <c r="I165" s="183"/>
      <c r="J165" s="183"/>
      <c r="K165" s="183"/>
    </row>
    <row r="166" spans="1:11" s="182" customFormat="1">
      <c r="A166" s="196" t="s">
        <v>764</v>
      </c>
      <c r="B166" s="197" t="s">
        <v>765</v>
      </c>
      <c r="C166" s="200">
        <f t="shared" ref="C166:E166" si="65">C167</f>
        <v>1705.2</v>
      </c>
      <c r="D166" s="201">
        <f t="shared" si="65"/>
        <v>1705.2</v>
      </c>
      <c r="E166" s="201">
        <f t="shared" si="65"/>
        <v>1705.2</v>
      </c>
      <c r="F166" s="183"/>
      <c r="G166" s="183"/>
      <c r="H166" s="183"/>
      <c r="I166" s="183"/>
      <c r="J166" s="183"/>
      <c r="K166" s="183"/>
    </row>
    <row r="167" spans="1:11" s="182" customFormat="1">
      <c r="A167" s="196" t="s">
        <v>766</v>
      </c>
      <c r="B167" s="197" t="s">
        <v>767</v>
      </c>
      <c r="C167" s="198">
        <v>1705.2</v>
      </c>
      <c r="D167" s="199">
        <v>1705.2</v>
      </c>
      <c r="E167" s="199">
        <v>1705.2</v>
      </c>
      <c r="F167" s="183"/>
      <c r="G167" s="183"/>
      <c r="H167" s="183"/>
      <c r="I167" s="183"/>
      <c r="J167" s="183"/>
      <c r="K167" s="183"/>
    </row>
    <row r="168" spans="1:11" s="182" customFormat="1">
      <c r="A168" s="191" t="s">
        <v>768</v>
      </c>
      <c r="B168" s="192" t="s">
        <v>769</v>
      </c>
      <c r="C168" s="193">
        <f>SUM(C169:C173)</f>
        <v>594252.99999999988</v>
      </c>
      <c r="D168" s="194">
        <f t="shared" ref="D168:E168" si="66">SUM(D169:D173)</f>
        <v>589723.70000000007</v>
      </c>
      <c r="E168" s="194">
        <f t="shared" si="66"/>
        <v>587359.90000000014</v>
      </c>
      <c r="F168" s="183"/>
      <c r="G168" s="183"/>
      <c r="H168" s="183"/>
      <c r="I168" s="183"/>
      <c r="J168" s="183"/>
      <c r="K168" s="183"/>
    </row>
    <row r="169" spans="1:11" s="182" customFormat="1" ht="63">
      <c r="A169" s="196" t="s">
        <v>770</v>
      </c>
      <c r="B169" s="197" t="s">
        <v>771</v>
      </c>
      <c r="C169" s="200">
        <f>366810.6+1235.3</f>
        <v>368045.89999999997</v>
      </c>
      <c r="D169" s="201">
        <v>368661.1</v>
      </c>
      <c r="E169" s="201">
        <v>371025.9</v>
      </c>
      <c r="F169" s="183"/>
      <c r="G169" s="183"/>
      <c r="H169" s="183"/>
      <c r="I169" s="183"/>
      <c r="J169" s="183"/>
      <c r="K169" s="183"/>
    </row>
    <row r="170" spans="1:11" s="182" customFormat="1" ht="47.25">
      <c r="A170" s="196" t="s">
        <v>770</v>
      </c>
      <c r="B170" s="197" t="s">
        <v>772</v>
      </c>
      <c r="C170" s="198">
        <f>213079.8+304.7</f>
        <v>213384.5</v>
      </c>
      <c r="D170" s="199">
        <v>213751.4</v>
      </c>
      <c r="E170" s="199">
        <v>214533.7</v>
      </c>
      <c r="F170" s="183"/>
      <c r="G170" s="183"/>
      <c r="H170" s="183"/>
      <c r="I170" s="183"/>
      <c r="J170" s="183"/>
      <c r="K170" s="183"/>
    </row>
    <row r="171" spans="1:11" s="182" customFormat="1" ht="47.25">
      <c r="A171" s="196" t="s">
        <v>770</v>
      </c>
      <c r="B171" s="197" t="s">
        <v>773</v>
      </c>
      <c r="C171" s="198">
        <v>1287.5</v>
      </c>
      <c r="D171" s="199">
        <v>1295.5</v>
      </c>
      <c r="E171" s="199">
        <v>1303.9000000000001</v>
      </c>
      <c r="F171" s="183"/>
      <c r="G171" s="183"/>
      <c r="H171" s="183"/>
      <c r="I171" s="183"/>
      <c r="J171" s="183"/>
      <c r="K171" s="183"/>
    </row>
    <row r="172" spans="1:11" s="182" customFormat="1" ht="47.25">
      <c r="A172" s="196" t="s">
        <v>770</v>
      </c>
      <c r="B172" s="197" t="s">
        <v>774</v>
      </c>
      <c r="C172" s="198">
        <v>491.4</v>
      </c>
      <c r="D172" s="199">
        <v>493.8</v>
      </c>
      <c r="E172" s="199">
        <v>496.4</v>
      </c>
      <c r="F172" s="183"/>
      <c r="G172" s="183"/>
      <c r="H172" s="183"/>
      <c r="I172" s="183"/>
      <c r="J172" s="183"/>
      <c r="K172" s="183"/>
    </row>
    <row r="173" spans="1:11" s="182" customFormat="1" ht="63">
      <c r="A173" s="196" t="s">
        <v>770</v>
      </c>
      <c r="B173" s="228" t="s">
        <v>775</v>
      </c>
      <c r="C173" s="251">
        <f>9203.1+1840.6</f>
        <v>11043.7</v>
      </c>
      <c r="D173" s="252">
        <v>5521.9</v>
      </c>
      <c r="E173" s="252">
        <v>0</v>
      </c>
      <c r="F173" s="183"/>
      <c r="G173" s="183"/>
      <c r="H173" s="183"/>
      <c r="I173" s="183"/>
      <c r="J173" s="183"/>
      <c r="K173" s="183"/>
    </row>
    <row r="174" spans="1:11" s="182" customFormat="1">
      <c r="A174" s="191" t="s">
        <v>776</v>
      </c>
      <c r="B174" s="253" t="s">
        <v>777</v>
      </c>
      <c r="C174" s="254">
        <f>C175+C177+C179</f>
        <v>31227.4</v>
      </c>
      <c r="D174" s="255">
        <f t="shared" ref="D174:E174" si="67">D175+D177+D179</f>
        <v>29295</v>
      </c>
      <c r="E174" s="255">
        <f t="shared" si="67"/>
        <v>29295</v>
      </c>
      <c r="F174" s="183"/>
      <c r="G174" s="183"/>
      <c r="H174" s="183"/>
      <c r="I174" s="183"/>
      <c r="J174" s="183"/>
      <c r="K174" s="183"/>
    </row>
    <row r="175" spans="1:11" s="182" customFormat="1" ht="78.75">
      <c r="A175" s="196" t="s">
        <v>778</v>
      </c>
      <c r="B175" s="228" t="s">
        <v>779</v>
      </c>
      <c r="C175" s="251">
        <f>C176</f>
        <v>859.3</v>
      </c>
      <c r="D175" s="252">
        <f t="shared" ref="D175:E175" si="68">D176</f>
        <v>859.3</v>
      </c>
      <c r="E175" s="252">
        <f t="shared" si="68"/>
        <v>859.3</v>
      </c>
      <c r="F175" s="183"/>
      <c r="G175" s="183"/>
      <c r="H175" s="183"/>
      <c r="I175" s="183"/>
      <c r="J175" s="183"/>
      <c r="K175" s="183"/>
    </row>
    <row r="176" spans="1:11" s="182" customFormat="1" ht="94.5">
      <c r="A176" s="196" t="s">
        <v>780</v>
      </c>
      <c r="B176" s="228" t="s">
        <v>781</v>
      </c>
      <c r="C176" s="251">
        <v>859.3</v>
      </c>
      <c r="D176" s="252">
        <v>859.3</v>
      </c>
      <c r="E176" s="252">
        <v>859.3</v>
      </c>
      <c r="F176" s="183"/>
      <c r="G176" s="183"/>
      <c r="H176" s="183"/>
      <c r="I176" s="183"/>
      <c r="J176" s="183"/>
      <c r="K176" s="183"/>
    </row>
    <row r="177" spans="1:11" s="182" customFormat="1" ht="78.75">
      <c r="A177" s="196" t="s">
        <v>782</v>
      </c>
      <c r="B177" s="228" t="s">
        <v>783</v>
      </c>
      <c r="C177" s="251">
        <f>C178</f>
        <v>28435.7</v>
      </c>
      <c r="D177" s="252">
        <f t="shared" ref="D177:E177" si="69">D178</f>
        <v>28435.7</v>
      </c>
      <c r="E177" s="252">
        <f t="shared" si="69"/>
        <v>28435.7</v>
      </c>
      <c r="F177" s="183"/>
      <c r="G177" s="183"/>
      <c r="H177" s="183"/>
      <c r="I177" s="183"/>
      <c r="J177" s="183"/>
      <c r="K177" s="183"/>
    </row>
    <row r="178" spans="1:11" s="182" customFormat="1" ht="78.75">
      <c r="A178" s="196" t="s">
        <v>784</v>
      </c>
      <c r="B178" s="228" t="s">
        <v>785</v>
      </c>
      <c r="C178" s="251">
        <v>28435.7</v>
      </c>
      <c r="D178" s="252">
        <v>28435.7</v>
      </c>
      <c r="E178" s="252">
        <v>28435.7</v>
      </c>
      <c r="F178" s="183"/>
      <c r="G178" s="183"/>
      <c r="H178" s="183"/>
      <c r="I178" s="183"/>
      <c r="J178" s="183"/>
      <c r="K178" s="183"/>
    </row>
    <row r="179" spans="1:11" s="182" customFormat="1">
      <c r="A179" s="196" t="s">
        <v>786</v>
      </c>
      <c r="B179" s="228" t="s">
        <v>787</v>
      </c>
      <c r="C179" s="251">
        <f>SUM(C180:C182)</f>
        <v>1932.4</v>
      </c>
      <c r="D179" s="252">
        <f t="shared" ref="D179:E179" si="70">SUM(D180:D182)</f>
        <v>0</v>
      </c>
      <c r="E179" s="252">
        <f t="shared" si="70"/>
        <v>0</v>
      </c>
      <c r="F179" s="183"/>
      <c r="G179" s="183"/>
      <c r="H179" s="183"/>
      <c r="I179" s="183"/>
      <c r="J179" s="183"/>
      <c r="K179" s="183"/>
    </row>
    <row r="180" spans="1:11" s="182" customFormat="1" ht="47.25">
      <c r="A180" s="196" t="s">
        <v>788</v>
      </c>
      <c r="B180" s="228" t="s">
        <v>789</v>
      </c>
      <c r="C180" s="251">
        <f>250+490</f>
        <v>740</v>
      </c>
      <c r="D180" s="252">
        <v>0</v>
      </c>
      <c r="E180" s="252">
        <v>0</v>
      </c>
      <c r="F180" s="183"/>
      <c r="G180" s="183"/>
      <c r="H180" s="183"/>
      <c r="I180" s="183"/>
      <c r="J180" s="183"/>
      <c r="K180" s="183"/>
    </row>
    <row r="181" spans="1:11" s="182" customFormat="1" ht="31.5">
      <c r="A181" s="196" t="s">
        <v>788</v>
      </c>
      <c r="B181" s="228" t="s">
        <v>790</v>
      </c>
      <c r="C181" s="251">
        <f>207.7+207.6</f>
        <v>415.29999999999995</v>
      </c>
      <c r="D181" s="252">
        <v>0</v>
      </c>
      <c r="E181" s="252">
        <v>0</v>
      </c>
      <c r="F181" s="183"/>
      <c r="G181" s="183"/>
      <c r="H181" s="183"/>
      <c r="I181" s="183"/>
      <c r="J181" s="183"/>
      <c r="K181" s="183"/>
    </row>
    <row r="182" spans="1:11" s="182" customFormat="1" ht="47.25">
      <c r="A182" s="196" t="s">
        <v>788</v>
      </c>
      <c r="B182" s="228" t="s">
        <v>791</v>
      </c>
      <c r="C182" s="251">
        <v>777.1</v>
      </c>
      <c r="D182" s="252">
        <v>0</v>
      </c>
      <c r="E182" s="252">
        <v>0</v>
      </c>
      <c r="F182" s="183"/>
      <c r="G182" s="183"/>
      <c r="H182" s="183"/>
      <c r="I182" s="183"/>
      <c r="J182" s="183"/>
      <c r="K182" s="183"/>
    </row>
    <row r="183" spans="1:11" s="182" customFormat="1">
      <c r="A183" s="191"/>
      <c r="B183" s="256" t="s">
        <v>792</v>
      </c>
      <c r="C183" s="193">
        <f>C11+C115</f>
        <v>1724648.6999999997</v>
      </c>
      <c r="D183" s="194">
        <f>D11+D115</f>
        <v>1554607.2000000002</v>
      </c>
      <c r="E183" s="194">
        <f>E11+E115</f>
        <v>1419226.1</v>
      </c>
      <c r="F183" s="183"/>
      <c r="G183" s="183"/>
      <c r="H183" s="183"/>
      <c r="I183" s="183"/>
      <c r="J183" s="183"/>
      <c r="K183" s="183"/>
    </row>
    <row r="184" spans="1:11">
      <c r="C184" s="257"/>
      <c r="D184" s="258"/>
      <c r="E184" s="258"/>
    </row>
  </sheetData>
  <mergeCells count="8">
    <mergeCell ref="A9:A10"/>
    <mergeCell ref="B9:B10"/>
    <mergeCell ref="C9:E9"/>
    <mergeCell ref="C1:E1"/>
    <mergeCell ref="B2:E2"/>
    <mergeCell ref="C3:E3"/>
    <mergeCell ref="B4:E5"/>
    <mergeCell ref="A7:E7"/>
  </mergeCells>
  <pageMargins left="0.59055118110236227" right="0.19685039370078741" top="0.19685039370078741" bottom="0.19685039370078741" header="0.31496062992125984" footer="0.31496062992125984"/>
  <pageSetup paperSize="9" scale="5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E49"/>
  <sheetViews>
    <sheetView view="pageBreakPreview" zoomScale="90" zoomScaleSheetLayoutView="90" workbookViewId="0">
      <selection activeCell="B2" sqref="B2:E2"/>
    </sheetView>
  </sheetViews>
  <sheetFormatPr defaultColWidth="8.85546875" defaultRowHeight="15.75"/>
  <cols>
    <col min="1" max="1" width="6.5703125" style="10" customWidth="1"/>
    <col min="2" max="2" width="72" style="10" customWidth="1"/>
    <col min="3" max="3" width="12.42578125" style="74" customWidth="1"/>
    <col min="4" max="4" width="12.28515625" style="74" customWidth="1"/>
    <col min="5" max="5" width="11.7109375" style="74" customWidth="1"/>
    <col min="6" max="6" width="8.85546875" style="2"/>
    <col min="7" max="7" width="9.7109375" style="2" customWidth="1"/>
    <col min="8" max="16384" width="8.85546875" style="2"/>
  </cols>
  <sheetData>
    <row r="1" spans="1:5" ht="55.5" customHeight="1">
      <c r="A1" s="283" t="s">
        <v>407</v>
      </c>
      <c r="B1" s="283"/>
      <c r="C1" s="283"/>
      <c r="D1" s="283"/>
      <c r="E1" s="283"/>
    </row>
    <row r="2" spans="1:5" ht="47.25" customHeight="1">
      <c r="A2" s="88"/>
      <c r="B2" s="283" t="s">
        <v>832</v>
      </c>
      <c r="C2" s="283"/>
      <c r="D2" s="283"/>
      <c r="E2" s="283"/>
    </row>
    <row r="3" spans="1:5" ht="14.25" customHeight="1">
      <c r="A3" s="90"/>
      <c r="B3" s="90"/>
      <c r="C3" s="90"/>
      <c r="D3" s="90"/>
      <c r="E3" s="90"/>
    </row>
    <row r="4" spans="1:5" ht="51" customHeight="1">
      <c r="A4" s="284" t="s">
        <v>325</v>
      </c>
      <c r="B4" s="284"/>
      <c r="C4" s="284"/>
      <c r="D4" s="284"/>
      <c r="E4" s="284"/>
    </row>
    <row r="5" spans="1:5">
      <c r="A5" s="279" t="s">
        <v>36</v>
      </c>
      <c r="B5" s="279" t="s">
        <v>18</v>
      </c>
      <c r="C5" s="285" t="s">
        <v>87</v>
      </c>
      <c r="D5" s="286"/>
      <c r="E5" s="287"/>
    </row>
    <row r="6" spans="1:5" ht="15.6" customHeight="1">
      <c r="A6" s="280"/>
      <c r="B6" s="280"/>
      <c r="C6" s="282" t="s">
        <v>278</v>
      </c>
      <c r="D6" s="282" t="s">
        <v>88</v>
      </c>
      <c r="E6" s="282"/>
    </row>
    <row r="7" spans="1:5">
      <c r="A7" s="281"/>
      <c r="B7" s="281"/>
      <c r="C7" s="282" t="s">
        <v>66</v>
      </c>
      <c r="D7" s="75" t="s">
        <v>291</v>
      </c>
      <c r="E7" s="75" t="s">
        <v>324</v>
      </c>
    </row>
    <row r="8" spans="1:5" ht="17.25" customHeight="1">
      <c r="A8" s="84" t="s">
        <v>3</v>
      </c>
      <c r="B8" s="84" t="s">
        <v>77</v>
      </c>
      <c r="C8" s="85" t="s">
        <v>78</v>
      </c>
      <c r="D8" s="85" t="s">
        <v>79</v>
      </c>
      <c r="E8" s="86">
        <v>5</v>
      </c>
    </row>
    <row r="9" spans="1:5">
      <c r="A9" s="3" t="s">
        <v>66</v>
      </c>
      <c r="B9" s="15" t="s">
        <v>58</v>
      </c>
      <c r="C9" s="77">
        <f>C10+C20+C23+C26+C31+C38+C40+C44+C48</f>
        <v>1837783.5999999999</v>
      </c>
      <c r="D9" s="77">
        <f t="shared" ref="D9:E9" si="0">D10+D20+D23+D26+D31+D38+D40+D44+D48</f>
        <v>1538973.9</v>
      </c>
      <c r="E9" s="77">
        <f t="shared" si="0"/>
        <v>1389112.9000000001</v>
      </c>
    </row>
    <row r="10" spans="1:5">
      <c r="A10" s="3" t="s">
        <v>54</v>
      </c>
      <c r="B10" s="13" t="s">
        <v>20</v>
      </c>
      <c r="C10" s="77">
        <f>SUM(C11:C19)</f>
        <v>132069.29999999999</v>
      </c>
      <c r="D10" s="77">
        <f t="shared" ref="D10:E10" si="1">SUM(D11:D19)</f>
        <v>97859.4</v>
      </c>
      <c r="E10" s="77">
        <f t="shared" si="1"/>
        <v>98737.699999999983</v>
      </c>
    </row>
    <row r="11" spans="1:5" ht="34.15" customHeight="1">
      <c r="A11" s="16" t="s">
        <v>43</v>
      </c>
      <c r="B11" s="9" t="s">
        <v>59</v>
      </c>
      <c r="C11" s="76">
        <f>' № 5  рп, кцср, квр'!E11</f>
        <v>3150.3</v>
      </c>
      <c r="D11" s="76">
        <f>' № 5  рп, кцср, квр'!F11</f>
        <v>2461.8000000000002</v>
      </c>
      <c r="E11" s="76">
        <f>' № 5  рп, кцср, квр'!G11</f>
        <v>2461.8000000000002</v>
      </c>
    </row>
    <row r="12" spans="1:5" ht="47.25">
      <c r="A12" s="16" t="s">
        <v>44</v>
      </c>
      <c r="B12" s="62" t="s">
        <v>21</v>
      </c>
      <c r="C12" s="76">
        <f>' № 5  рп, кцср, квр'!E17</f>
        <v>2694.5</v>
      </c>
      <c r="D12" s="76">
        <f>' № 5  рп, кцср, квр'!F17</f>
        <v>2522.9</v>
      </c>
      <c r="E12" s="76">
        <f>' № 5  рп, кцср, квр'!G17</f>
        <v>2522.9</v>
      </c>
    </row>
    <row r="13" spans="1:5" ht="49.15" customHeight="1">
      <c r="A13" s="16" t="s">
        <v>45</v>
      </c>
      <c r="B13" s="9" t="s">
        <v>22</v>
      </c>
      <c r="C13" s="76">
        <f>' № 5  рп, кцср, квр'!E34</f>
        <v>38403.899999999994</v>
      </c>
      <c r="D13" s="76">
        <f>' № 5  рп, кцср, квр'!F34</f>
        <v>35574.799999999996</v>
      </c>
      <c r="E13" s="76">
        <f>' № 5  рп, кцср, квр'!G34</f>
        <v>35583.199999999997</v>
      </c>
    </row>
    <row r="14" spans="1:5" ht="15.6" customHeight="1">
      <c r="A14" s="11" t="s">
        <v>152</v>
      </c>
      <c r="B14" s="5" t="s">
        <v>153</v>
      </c>
      <c r="C14" s="76">
        <f>' № 5  рп, кцср, квр'!E49</f>
        <v>210.3</v>
      </c>
      <c r="D14" s="76">
        <f>' № 5  рп, кцср, квр'!F49</f>
        <v>19.100000000000001</v>
      </c>
      <c r="E14" s="76">
        <f>' № 5  рп, кцср, квр'!G49</f>
        <v>20.7</v>
      </c>
    </row>
    <row r="15" spans="1:5" ht="31.5" customHeight="1">
      <c r="A15" s="16" t="s">
        <v>46</v>
      </c>
      <c r="B15" s="9" t="s">
        <v>7</v>
      </c>
      <c r="C15" s="76">
        <f>' № 5  рп, кцср, квр'!E55</f>
        <v>14478.3</v>
      </c>
      <c r="D15" s="76">
        <f>' № 5  рп, кцср, квр'!F55</f>
        <v>14196.7</v>
      </c>
      <c r="E15" s="76">
        <f>' № 5  рп, кцср, квр'!G55</f>
        <v>14196.7</v>
      </c>
    </row>
    <row r="16" spans="1:5" ht="16.5" customHeight="1">
      <c r="A16" s="11" t="s">
        <v>293</v>
      </c>
      <c r="B16" s="22" t="s">
        <v>292</v>
      </c>
      <c r="C16" s="76">
        <f>' № 5  рп, кцср, квр'!E80</f>
        <v>8000</v>
      </c>
      <c r="D16" s="76">
        <f>' № 5  рп, кцср, квр'!F80</f>
        <v>0</v>
      </c>
      <c r="E16" s="76">
        <f>' № 5  рп, кцср, квр'!G80</f>
        <v>0</v>
      </c>
    </row>
    <row r="17" spans="1:5" ht="19.149999999999999" customHeight="1">
      <c r="A17" s="11" t="s">
        <v>209</v>
      </c>
      <c r="B17" s="29" t="s">
        <v>210</v>
      </c>
      <c r="C17" s="76">
        <f>' № 5  рп, кцср, квр'!E86</f>
        <v>88.6</v>
      </c>
      <c r="D17" s="76">
        <f>' № 5  рп, кцср, квр'!F86</f>
        <v>88.6</v>
      </c>
      <c r="E17" s="76">
        <f>' № 5  рп, кцср, квр'!G86</f>
        <v>88.6</v>
      </c>
    </row>
    <row r="18" spans="1:5">
      <c r="A18" s="16" t="s">
        <v>47</v>
      </c>
      <c r="B18" s="9" t="s">
        <v>8</v>
      </c>
      <c r="C18" s="76">
        <f>' № 5  рп, кцср, квр'!E93</f>
        <v>1875.2000000000007</v>
      </c>
      <c r="D18" s="76">
        <f>' № 5  рп, кцср, квр'!F93</f>
        <v>500</v>
      </c>
      <c r="E18" s="76">
        <f>' № 5  рп, кцср, квр'!G93</f>
        <v>500</v>
      </c>
    </row>
    <row r="19" spans="1:5">
      <c r="A19" s="16" t="s">
        <v>60</v>
      </c>
      <c r="B19" s="9" t="s">
        <v>23</v>
      </c>
      <c r="C19" s="76">
        <f>' № 5  рп, кцср, квр'!E99</f>
        <v>63168.2</v>
      </c>
      <c r="D19" s="76">
        <f>' № 5  рп, кцср, квр'!F99</f>
        <v>42495.5</v>
      </c>
      <c r="E19" s="76">
        <f>' № 5  рп, кцср, квр'!G99</f>
        <v>43363.799999999996</v>
      </c>
    </row>
    <row r="20" spans="1:5" ht="16.5" customHeight="1">
      <c r="A20" s="3" t="s">
        <v>55</v>
      </c>
      <c r="B20" s="13" t="s">
        <v>24</v>
      </c>
      <c r="C20" s="77">
        <f>C21+C22</f>
        <v>15278.400000000001</v>
      </c>
      <c r="D20" s="77">
        <f t="shared" ref="D20:E20" si="2">D21+D22</f>
        <v>15284.100000000002</v>
      </c>
      <c r="E20" s="77">
        <f t="shared" si="2"/>
        <v>15752.000000000002</v>
      </c>
    </row>
    <row r="21" spans="1:5">
      <c r="A21" s="16" t="s">
        <v>75</v>
      </c>
      <c r="B21" s="9" t="s">
        <v>76</v>
      </c>
      <c r="C21" s="76">
        <f>' № 5  рп, кцср, квр'!E196</f>
        <v>1705.2</v>
      </c>
      <c r="D21" s="76">
        <f>' № 5  рп, кцср, квр'!F196</f>
        <v>1705.2</v>
      </c>
      <c r="E21" s="76">
        <f>' № 5  рп, кцср, квр'!G196</f>
        <v>1705.2</v>
      </c>
    </row>
    <row r="22" spans="1:5" ht="31.5">
      <c r="A22" s="11" t="s">
        <v>249</v>
      </c>
      <c r="B22" s="9" t="s">
        <v>250</v>
      </c>
      <c r="C22" s="76">
        <f>' № 5  рп, кцср, квр'!E203</f>
        <v>13573.2</v>
      </c>
      <c r="D22" s="76">
        <f>' № 5  рп, кцср, квр'!F203</f>
        <v>13578.900000000001</v>
      </c>
      <c r="E22" s="76">
        <f>' № 5  рп, кцср, квр'!G203</f>
        <v>14046.800000000001</v>
      </c>
    </row>
    <row r="23" spans="1:5" ht="16.149999999999999" customHeight="1">
      <c r="A23" s="3" t="s">
        <v>56</v>
      </c>
      <c r="B23" s="13" t="s">
        <v>25</v>
      </c>
      <c r="C23" s="77">
        <f>C24+C25</f>
        <v>188258.69999999995</v>
      </c>
      <c r="D23" s="77">
        <f t="shared" ref="D23:E23" si="3">D24+D25</f>
        <v>135294.50000000003</v>
      </c>
      <c r="E23" s="77">
        <f t="shared" si="3"/>
        <v>124728.1</v>
      </c>
    </row>
    <row r="24" spans="1:5">
      <c r="A24" s="16" t="s">
        <v>6</v>
      </c>
      <c r="B24" s="9" t="s">
        <v>89</v>
      </c>
      <c r="C24" s="76">
        <f>' № 5  рп, кцср, квр'!E220</f>
        <v>187959.69999999995</v>
      </c>
      <c r="D24" s="76">
        <f>' № 5  рп, кцср, квр'!F220</f>
        <v>135294.50000000003</v>
      </c>
      <c r="E24" s="76">
        <f>' № 5  рп, кцср, квр'!G220</f>
        <v>124728.1</v>
      </c>
    </row>
    <row r="25" spans="1:5">
      <c r="A25" s="16" t="s">
        <v>48</v>
      </c>
      <c r="B25" s="9" t="s">
        <v>26</v>
      </c>
      <c r="C25" s="76">
        <f>' № 5  рп, кцср, квр'!E267</f>
        <v>299</v>
      </c>
      <c r="D25" s="76">
        <f>' № 5  рп, кцср, квр'!F267</f>
        <v>0</v>
      </c>
      <c r="E25" s="76">
        <f>' № 5  рп, кцср, квр'!G267</f>
        <v>0</v>
      </c>
    </row>
    <row r="26" spans="1:5">
      <c r="A26" s="3" t="s">
        <v>57</v>
      </c>
      <c r="B26" s="13" t="s">
        <v>27</v>
      </c>
      <c r="C26" s="77">
        <f>SUM(C27:C30)</f>
        <v>143965.1</v>
      </c>
      <c r="D26" s="77">
        <f t="shared" ref="D26:E26" si="4">SUM(D27:D30)</f>
        <v>84385.5</v>
      </c>
      <c r="E26" s="77">
        <f t="shared" si="4"/>
        <v>65890.2</v>
      </c>
    </row>
    <row r="27" spans="1:5">
      <c r="A27" s="16" t="s">
        <v>4</v>
      </c>
      <c r="B27" s="9" t="s">
        <v>5</v>
      </c>
      <c r="C27" s="76">
        <f>' № 5  рп, кцср, квр'!E280</f>
        <v>3749.9</v>
      </c>
      <c r="D27" s="76">
        <f>' № 5  рп, кцср, квр'!F280</f>
        <v>3749.9</v>
      </c>
      <c r="E27" s="76">
        <f>' № 5  рп, кцср, квр'!G280</f>
        <v>3749.9</v>
      </c>
    </row>
    <row r="28" spans="1:5">
      <c r="A28" s="11" t="s">
        <v>225</v>
      </c>
      <c r="B28" s="34" t="s">
        <v>226</v>
      </c>
      <c r="C28" s="76">
        <f>' № 5  рп, кцср, квр'!E287</f>
        <v>36889.4</v>
      </c>
      <c r="D28" s="76">
        <f>' № 5  рп, кцср, квр'!F287</f>
        <v>28500</v>
      </c>
      <c r="E28" s="76">
        <f>' № 5  рп, кцср, квр'!G287</f>
        <v>14000</v>
      </c>
    </row>
    <row r="29" spans="1:5">
      <c r="A29" s="16" t="s">
        <v>49</v>
      </c>
      <c r="B29" s="9" t="s">
        <v>28</v>
      </c>
      <c r="C29" s="76">
        <f>' № 5  рп, кцср, квр'!E312</f>
        <v>84703.200000000012</v>
      </c>
      <c r="D29" s="76">
        <f>' № 5  рп, кцср, квр'!F312</f>
        <v>41398.6</v>
      </c>
      <c r="E29" s="76">
        <f>' № 5  рп, кцср, квр'!G312</f>
        <v>37403.299999999996</v>
      </c>
    </row>
    <row r="30" spans="1:5">
      <c r="A30" s="11" t="s">
        <v>296</v>
      </c>
      <c r="B30" s="28" t="s">
        <v>297</v>
      </c>
      <c r="C30" s="76">
        <f>' № 5  рп, кцср, квр'!E398</f>
        <v>18622.599999999999</v>
      </c>
      <c r="D30" s="76">
        <f>' № 5  рп, кцср, квр'!F398</f>
        <v>10737</v>
      </c>
      <c r="E30" s="76">
        <f>' № 5  рп, кцср, квр'!G398</f>
        <v>10737</v>
      </c>
    </row>
    <row r="31" spans="1:5">
      <c r="A31" s="3" t="s">
        <v>37</v>
      </c>
      <c r="B31" s="4" t="s">
        <v>29</v>
      </c>
      <c r="C31" s="77">
        <f>SUM(C32:C37)</f>
        <v>1160765.4000000001</v>
      </c>
      <c r="D31" s="77">
        <f t="shared" ref="D31:E31" si="5">SUM(D32:D37)</f>
        <v>1014380.9999999999</v>
      </c>
      <c r="E31" s="77">
        <f t="shared" si="5"/>
        <v>937004.00000000012</v>
      </c>
    </row>
    <row r="32" spans="1:5">
      <c r="A32" s="16" t="s">
        <v>50</v>
      </c>
      <c r="B32" s="9" t="s">
        <v>10</v>
      </c>
      <c r="C32" s="76">
        <f>' № 5  рп, кцср, квр'!E428</f>
        <v>487551.2</v>
      </c>
      <c r="D32" s="76">
        <f>' № 5  рп, кцср, квр'!F428</f>
        <v>358591.1</v>
      </c>
      <c r="E32" s="76">
        <f>' № 5  рп, кцср, квр'!G428</f>
        <v>361303.70000000007</v>
      </c>
    </row>
    <row r="33" spans="1:5">
      <c r="A33" s="11" t="s">
        <v>51</v>
      </c>
      <c r="B33" s="9" t="s">
        <v>11</v>
      </c>
      <c r="C33" s="76">
        <f>' № 5  рп, кцср, квр'!E495</f>
        <v>609717.29999999993</v>
      </c>
      <c r="D33" s="76">
        <f>' № 5  рп, кцср, квр'!F495</f>
        <v>592153.89999999991</v>
      </c>
      <c r="E33" s="76">
        <f>' № 5  рп, кцср, квр'!G495</f>
        <v>511767.2</v>
      </c>
    </row>
    <row r="34" spans="1:5">
      <c r="A34" s="11" t="s">
        <v>90</v>
      </c>
      <c r="B34" s="56" t="s">
        <v>91</v>
      </c>
      <c r="C34" s="76">
        <f>' № 5  рп, кцср, квр'!E597</f>
        <v>50037.100000000006</v>
      </c>
      <c r="D34" s="76">
        <f>' № 5  рп, кцср, квр'!F597</f>
        <v>50542.7</v>
      </c>
      <c r="E34" s="76">
        <f>' № 5  рп, кцср, квр'!G597</f>
        <v>50832</v>
      </c>
    </row>
    <row r="35" spans="1:5" ht="32.450000000000003" customHeight="1">
      <c r="A35" s="11" t="s">
        <v>192</v>
      </c>
      <c r="B35" s="68" t="s">
        <v>218</v>
      </c>
      <c r="C35" s="73">
        <f>' № 5  рп, кцср, квр'!E634</f>
        <v>150</v>
      </c>
      <c r="D35" s="73">
        <f>' № 5  рп, кцср, квр'!F634</f>
        <v>0</v>
      </c>
      <c r="E35" s="73">
        <f>' № 5  рп, кцср, квр'!G634</f>
        <v>0</v>
      </c>
    </row>
    <row r="36" spans="1:5">
      <c r="A36" s="11" t="s">
        <v>38</v>
      </c>
      <c r="B36" s="9" t="s">
        <v>99</v>
      </c>
      <c r="C36" s="76">
        <f>' № 5  рп, кцср, квр'!E641</f>
        <v>907.6</v>
      </c>
      <c r="D36" s="76">
        <f>' № 5  рп, кцср, квр'!F641</f>
        <v>835.30000000000007</v>
      </c>
      <c r="E36" s="76">
        <f>' № 5  рп, кцср, квр'!G641</f>
        <v>843.1</v>
      </c>
    </row>
    <row r="37" spans="1:5">
      <c r="A37" s="11" t="s">
        <v>52</v>
      </c>
      <c r="B37" s="9" t="s">
        <v>12</v>
      </c>
      <c r="C37" s="76">
        <f>' № 5  рп, кцср, квр'!E666</f>
        <v>12402.2</v>
      </c>
      <c r="D37" s="76">
        <f>' № 5  рп, кцср, квр'!F666</f>
        <v>12258</v>
      </c>
      <c r="E37" s="76">
        <f>' № 5  рп, кцср, квр'!G666</f>
        <v>12258</v>
      </c>
    </row>
    <row r="38" spans="1:5">
      <c r="A38" s="3" t="s">
        <v>41</v>
      </c>
      <c r="B38" s="13" t="s">
        <v>82</v>
      </c>
      <c r="C38" s="77">
        <f>C39</f>
        <v>106580.90000000001</v>
      </c>
      <c r="D38" s="77">
        <f t="shared" ref="D38:E38" si="6">D39</f>
        <v>113116.9</v>
      </c>
      <c r="E38" s="77">
        <f t="shared" si="6"/>
        <v>74675.5</v>
      </c>
    </row>
    <row r="39" spans="1:5">
      <c r="A39" s="16" t="s">
        <v>42</v>
      </c>
      <c r="B39" s="9" t="s">
        <v>13</v>
      </c>
      <c r="C39" s="76">
        <f>' № 5  рп, кцср, квр'!E696</f>
        <v>106580.90000000001</v>
      </c>
      <c r="D39" s="76">
        <f>' № 5  рп, кцср, квр'!F696</f>
        <v>113116.9</v>
      </c>
      <c r="E39" s="76">
        <f>' № 5  рп, кцср, квр'!G696</f>
        <v>74675.5</v>
      </c>
    </row>
    <row r="40" spans="1:5">
      <c r="A40" s="3" t="s">
        <v>39</v>
      </c>
      <c r="B40" s="13" t="s">
        <v>31</v>
      </c>
      <c r="C40" s="77">
        <f>SUM(C41:C43)</f>
        <v>29357.8</v>
      </c>
      <c r="D40" s="77">
        <f t="shared" ref="D40:E40" si="7">SUM(D41:D43)</f>
        <v>21059.699999999997</v>
      </c>
      <c r="E40" s="77">
        <f t="shared" si="7"/>
        <v>14844.999999999998</v>
      </c>
    </row>
    <row r="41" spans="1:5">
      <c r="A41" s="35" t="s">
        <v>53</v>
      </c>
      <c r="B41" s="32" t="s">
        <v>32</v>
      </c>
      <c r="C41" s="76">
        <f>' № 5  рп, кцср, квр'!E751</f>
        <v>1119.6999999999998</v>
      </c>
      <c r="D41" s="76">
        <f>' № 5  рп, кцср, квр'!F751</f>
        <v>1119.6999999999998</v>
      </c>
      <c r="E41" s="76">
        <f>' № 5  рп, кцср, квр'!G751</f>
        <v>1119.6999999999998</v>
      </c>
    </row>
    <row r="42" spans="1:5">
      <c r="A42" s="36" t="s">
        <v>40</v>
      </c>
      <c r="B42" s="28" t="s">
        <v>34</v>
      </c>
      <c r="C42" s="78">
        <f>' № 5  рп, кцср, квр'!E760</f>
        <v>620.1</v>
      </c>
      <c r="D42" s="78">
        <f>' № 5  рп, кцср, квр'!F760</f>
        <v>120.1</v>
      </c>
      <c r="E42" s="78">
        <f>' № 5  рп, кцср, квр'!G760</f>
        <v>120.1</v>
      </c>
    </row>
    <row r="43" spans="1:5">
      <c r="A43" s="36" t="s">
        <v>84</v>
      </c>
      <c r="B43" s="38" t="s">
        <v>85</v>
      </c>
      <c r="C43" s="79">
        <f>' № 5  рп, кцср, квр'!E773</f>
        <v>27618</v>
      </c>
      <c r="D43" s="79">
        <f>' № 5  рп, кцср, квр'!F773</f>
        <v>19819.899999999998</v>
      </c>
      <c r="E43" s="79">
        <f>' № 5  рп, кцср, квр'!G773</f>
        <v>13605.199999999999</v>
      </c>
    </row>
    <row r="44" spans="1:5">
      <c r="A44" s="12" t="s">
        <v>61</v>
      </c>
      <c r="B44" s="13" t="s">
        <v>30</v>
      </c>
      <c r="C44" s="80">
        <f>C45+C46+C47</f>
        <v>57983.100000000006</v>
      </c>
      <c r="D44" s="80">
        <f t="shared" ref="D44:E44" si="8">D45+D46+D47</f>
        <v>56023.199999999997</v>
      </c>
      <c r="E44" s="80">
        <f t="shared" si="8"/>
        <v>55910.8</v>
      </c>
    </row>
    <row r="45" spans="1:5">
      <c r="A45" s="66">
        <v>1101</v>
      </c>
      <c r="B45" s="67" t="s">
        <v>378</v>
      </c>
      <c r="C45" s="81">
        <f>' № 5  рп, кцср, квр'!E795</f>
        <v>412.5</v>
      </c>
      <c r="D45" s="81">
        <f>' № 5  рп, кцср, квр'!F795</f>
        <v>412.5</v>
      </c>
      <c r="E45" s="81">
        <f>' № 5  рп, кцср, квр'!G795</f>
        <v>412.5</v>
      </c>
    </row>
    <row r="46" spans="1:5">
      <c r="A46" s="36" t="s">
        <v>86</v>
      </c>
      <c r="B46" s="28" t="s">
        <v>62</v>
      </c>
      <c r="C46" s="81">
        <f>' № 5  рп, кцср, квр'!E802</f>
        <v>24391</v>
      </c>
      <c r="D46" s="81">
        <f>' № 5  рп, кцср, квр'!F802</f>
        <v>23704.600000000002</v>
      </c>
      <c r="E46" s="81">
        <f>' № 5  рп, кцср, квр'!G802</f>
        <v>23255.599999999999</v>
      </c>
    </row>
    <row r="47" spans="1:5">
      <c r="A47" s="36">
        <v>1103</v>
      </c>
      <c r="B47" s="37" t="s">
        <v>230</v>
      </c>
      <c r="C47" s="81">
        <f>' № 5  рп, кцср, квр'!E844</f>
        <v>33179.600000000006</v>
      </c>
      <c r="D47" s="81">
        <f>' № 5  рп, кцср, квр'!F844</f>
        <v>31906.1</v>
      </c>
      <c r="E47" s="81">
        <f>' № 5  рп, кцср, квр'!G844</f>
        <v>32242.7</v>
      </c>
    </row>
    <row r="48" spans="1:5" ht="19.899999999999999" customHeight="1">
      <c r="A48" s="12" t="s">
        <v>92</v>
      </c>
      <c r="B48" s="13" t="s">
        <v>63</v>
      </c>
      <c r="C48" s="80">
        <f>C49</f>
        <v>3524.9</v>
      </c>
      <c r="D48" s="80">
        <f t="shared" ref="D48:E48" si="9">D49</f>
        <v>1569.6</v>
      </c>
      <c r="E48" s="80">
        <f t="shared" si="9"/>
        <v>1569.6</v>
      </c>
    </row>
    <row r="49" spans="1:5" ht="23.25" customHeight="1">
      <c r="A49" s="31" t="s">
        <v>64</v>
      </c>
      <c r="B49" s="28" t="s">
        <v>65</v>
      </c>
      <c r="C49" s="81">
        <f>' № 5  рп, кцср, квр'!E885</f>
        <v>3524.9</v>
      </c>
      <c r="D49" s="81">
        <f>' № 5  рп, кцср, квр'!F885</f>
        <v>1569.6</v>
      </c>
      <c r="E49" s="81">
        <f>' № 5  рп, кцср, квр'!G885</f>
        <v>1569.6</v>
      </c>
    </row>
  </sheetData>
  <mergeCells count="8">
    <mergeCell ref="B5:B7"/>
    <mergeCell ref="C6:C7"/>
    <mergeCell ref="A1:E1"/>
    <mergeCell ref="A4:E4"/>
    <mergeCell ref="A5:A7"/>
    <mergeCell ref="C5:E5"/>
    <mergeCell ref="D6:E6"/>
    <mergeCell ref="B2:E2"/>
  </mergeCells>
  <pageMargins left="0.59055118110236227" right="0.19685039370078741" top="0.19685039370078741" bottom="0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99"/>
  <sheetViews>
    <sheetView view="pageBreakPreview" zoomScale="80" zoomScaleNormal="92" zoomScaleSheetLayoutView="80" workbookViewId="0">
      <selection activeCell="E2" sqref="E2:H2"/>
    </sheetView>
  </sheetViews>
  <sheetFormatPr defaultColWidth="8.85546875" defaultRowHeight="15.75"/>
  <cols>
    <col min="1" max="1" width="6.28515625" style="18" customWidth="1"/>
    <col min="2" max="2" width="5.85546875" style="18" customWidth="1"/>
    <col min="3" max="3" width="14.7109375" style="18" customWidth="1"/>
    <col min="4" max="4" width="5.7109375" style="18" customWidth="1"/>
    <col min="5" max="5" width="67.5703125" style="27" customWidth="1"/>
    <col min="6" max="6" width="13.140625" style="18" customWidth="1"/>
    <col min="7" max="7" width="13" style="18" customWidth="1"/>
    <col min="8" max="8" width="12.7109375" style="18" customWidth="1"/>
    <col min="9" max="16384" width="8.85546875" style="18"/>
  </cols>
  <sheetData>
    <row r="1" spans="1:8" ht="50.25" customHeight="1">
      <c r="A1" s="176" t="s">
        <v>66</v>
      </c>
      <c r="B1" s="288" t="s">
        <v>409</v>
      </c>
      <c r="C1" s="288"/>
      <c r="D1" s="288"/>
      <c r="E1" s="288"/>
      <c r="F1" s="288"/>
      <c r="G1" s="288"/>
      <c r="H1" s="288"/>
    </row>
    <row r="2" spans="1:8" ht="36.75" customHeight="1">
      <c r="A2" s="176"/>
      <c r="B2" s="176"/>
      <c r="C2" s="176"/>
      <c r="D2" s="176"/>
      <c r="E2" s="288" t="s">
        <v>832</v>
      </c>
      <c r="F2" s="288"/>
      <c r="G2" s="288"/>
      <c r="H2" s="288"/>
    </row>
    <row r="3" spans="1:8" ht="36.75" customHeight="1">
      <c r="A3" s="176"/>
      <c r="B3" s="176"/>
      <c r="C3" s="176"/>
      <c r="D3" s="176"/>
      <c r="E3" s="176"/>
      <c r="F3" s="176"/>
      <c r="G3" s="176"/>
      <c r="H3" s="176"/>
    </row>
    <row r="4" spans="1:8" ht="49.5" customHeight="1">
      <c r="A4" s="289" t="s">
        <v>326</v>
      </c>
      <c r="B4" s="289"/>
      <c r="C4" s="289"/>
      <c r="D4" s="289"/>
      <c r="E4" s="289"/>
      <c r="F4" s="289"/>
      <c r="G4" s="289"/>
      <c r="H4" s="289"/>
    </row>
    <row r="5" spans="1:8">
      <c r="A5" s="290" t="s">
        <v>15</v>
      </c>
      <c r="B5" s="290" t="s">
        <v>36</v>
      </c>
      <c r="C5" s="290" t="s">
        <v>16</v>
      </c>
      <c r="D5" s="290" t="s">
        <v>17</v>
      </c>
      <c r="E5" s="291" t="s">
        <v>18</v>
      </c>
      <c r="F5" s="290" t="s">
        <v>87</v>
      </c>
      <c r="G5" s="290"/>
      <c r="H5" s="290"/>
    </row>
    <row r="6" spans="1:8">
      <c r="A6" s="290" t="s">
        <v>66</v>
      </c>
      <c r="B6" s="290" t="s">
        <v>66</v>
      </c>
      <c r="C6" s="290" t="s">
        <v>66</v>
      </c>
      <c r="D6" s="290" t="s">
        <v>66</v>
      </c>
      <c r="E6" s="291" t="s">
        <v>66</v>
      </c>
      <c r="F6" s="290" t="s">
        <v>278</v>
      </c>
      <c r="G6" s="290" t="s">
        <v>88</v>
      </c>
      <c r="H6" s="290"/>
    </row>
    <row r="7" spans="1:8">
      <c r="A7" s="290" t="s">
        <v>66</v>
      </c>
      <c r="B7" s="290" t="s">
        <v>66</v>
      </c>
      <c r="C7" s="290" t="s">
        <v>66</v>
      </c>
      <c r="D7" s="290" t="s">
        <v>66</v>
      </c>
      <c r="E7" s="291" t="s">
        <v>66</v>
      </c>
      <c r="F7" s="290" t="s">
        <v>66</v>
      </c>
      <c r="G7" s="177" t="s">
        <v>291</v>
      </c>
      <c r="H7" s="177" t="s">
        <v>324</v>
      </c>
    </row>
    <row r="8" spans="1:8">
      <c r="A8" s="177" t="s">
        <v>3</v>
      </c>
      <c r="B8" s="177" t="s">
        <v>77</v>
      </c>
      <c r="C8" s="177" t="s">
        <v>78</v>
      </c>
      <c r="D8" s="177" t="s">
        <v>79</v>
      </c>
      <c r="E8" s="177" t="s">
        <v>80</v>
      </c>
      <c r="F8" s="177" t="s">
        <v>81</v>
      </c>
      <c r="G8" s="177" t="s">
        <v>93</v>
      </c>
      <c r="H8" s="177" t="s">
        <v>94</v>
      </c>
    </row>
    <row r="9" spans="1:8">
      <c r="A9" s="19" t="s">
        <v>66</v>
      </c>
      <c r="B9" s="19" t="s">
        <v>66</v>
      </c>
      <c r="C9" s="19" t="s">
        <v>66</v>
      </c>
      <c r="D9" s="19" t="s">
        <v>66</v>
      </c>
      <c r="E9" s="24" t="s">
        <v>0</v>
      </c>
      <c r="F9" s="17">
        <f>F10+F646+F679+F736+F785+F747+F756+F770</f>
        <v>1837783.5999999996</v>
      </c>
      <c r="G9" s="17">
        <f>G10+G646+G679+G736+G785+G747+G756+G770</f>
        <v>1538973.8999999997</v>
      </c>
      <c r="H9" s="17">
        <f>H10+H646+H679+H736+H785+H747+H756+H770</f>
        <v>1389112.9</v>
      </c>
    </row>
    <row r="10" spans="1:8" ht="31.5">
      <c r="A10" s="19" t="s">
        <v>19</v>
      </c>
      <c r="B10" s="30" t="s">
        <v>66</v>
      </c>
      <c r="C10" s="30" t="s">
        <v>66</v>
      </c>
      <c r="D10" s="30" t="s">
        <v>66</v>
      </c>
      <c r="E10" s="24" t="s">
        <v>245</v>
      </c>
      <c r="F10" s="17">
        <f>F11+F132+F156+F211+F349+F465+F520+F635+F550</f>
        <v>829470.1</v>
      </c>
      <c r="G10" s="17">
        <f>G11+G132+G156+G211+G349+G465+G520+G635+G550</f>
        <v>568968.5</v>
      </c>
      <c r="H10" s="17">
        <f>H11+H132+H156+H211+H349+H465+H520+H635+H550</f>
        <v>427997.6</v>
      </c>
    </row>
    <row r="11" spans="1:8">
      <c r="A11" s="177" t="s">
        <v>19</v>
      </c>
      <c r="B11" s="177" t="s">
        <v>54</v>
      </c>
      <c r="C11" s="177" t="s">
        <v>66</v>
      </c>
      <c r="D11" s="177" t="s">
        <v>66</v>
      </c>
      <c r="E11" s="25" t="s">
        <v>20</v>
      </c>
      <c r="F11" s="14">
        <f>F12+F18+F33+F52+F45+F39</f>
        <v>89133.200000000012</v>
      </c>
      <c r="G11" s="14">
        <f>G12+G18+G33+G52+G45+G39</f>
        <v>69643</v>
      </c>
      <c r="H11" s="14">
        <f>H12+H18+H33+H52+H45+H39</f>
        <v>70521.3</v>
      </c>
    </row>
    <row r="12" spans="1:8" ht="31.5">
      <c r="A12" s="177" t="s">
        <v>19</v>
      </c>
      <c r="B12" s="177" t="s">
        <v>43</v>
      </c>
      <c r="C12" s="177" t="s">
        <v>66</v>
      </c>
      <c r="D12" s="177" t="s">
        <v>66</v>
      </c>
      <c r="E12" s="22" t="s">
        <v>59</v>
      </c>
      <c r="F12" s="14">
        <f>F13</f>
        <v>3150.3</v>
      </c>
      <c r="G12" s="14">
        <f t="shared" ref="G12:H16" si="0">G13</f>
        <v>2461.8000000000002</v>
      </c>
      <c r="H12" s="14">
        <f t="shared" si="0"/>
        <v>2461.8000000000002</v>
      </c>
    </row>
    <row r="13" spans="1:8">
      <c r="A13" s="177" t="s">
        <v>19</v>
      </c>
      <c r="B13" s="177" t="s">
        <v>43</v>
      </c>
      <c r="C13" s="177">
        <v>9900000000</v>
      </c>
      <c r="D13" s="177"/>
      <c r="E13" s="178" t="s">
        <v>105</v>
      </c>
      <c r="F13" s="14">
        <f>F14</f>
        <v>3150.3</v>
      </c>
      <c r="G13" s="14">
        <f t="shared" si="0"/>
        <v>2461.8000000000002</v>
      </c>
      <c r="H13" s="14">
        <f t="shared" si="0"/>
        <v>2461.8000000000002</v>
      </c>
    </row>
    <row r="14" spans="1:8" ht="31.5">
      <c r="A14" s="177" t="s">
        <v>19</v>
      </c>
      <c r="B14" s="177" t="s">
        <v>43</v>
      </c>
      <c r="C14" s="177">
        <v>9990000000</v>
      </c>
      <c r="D14" s="177"/>
      <c r="E14" s="178" t="s">
        <v>145</v>
      </c>
      <c r="F14" s="14">
        <f>F15</f>
        <v>3150.3</v>
      </c>
      <c r="G14" s="14">
        <f t="shared" si="0"/>
        <v>2461.8000000000002</v>
      </c>
      <c r="H14" s="14">
        <f t="shared" si="0"/>
        <v>2461.8000000000002</v>
      </c>
    </row>
    <row r="15" spans="1:8">
      <c r="A15" s="177" t="s">
        <v>19</v>
      </c>
      <c r="B15" s="177" t="s">
        <v>43</v>
      </c>
      <c r="C15" s="177">
        <v>9990021000</v>
      </c>
      <c r="D15" s="30"/>
      <c r="E15" s="178" t="s">
        <v>146</v>
      </c>
      <c r="F15" s="14">
        <f>F16</f>
        <v>3150.3</v>
      </c>
      <c r="G15" s="14">
        <f t="shared" si="0"/>
        <v>2461.8000000000002</v>
      </c>
      <c r="H15" s="14">
        <f t="shared" si="0"/>
        <v>2461.8000000000002</v>
      </c>
    </row>
    <row r="16" spans="1:8" ht="63">
      <c r="A16" s="177" t="s">
        <v>19</v>
      </c>
      <c r="B16" s="177" t="s">
        <v>43</v>
      </c>
      <c r="C16" s="177">
        <v>9990021000</v>
      </c>
      <c r="D16" s="177" t="s">
        <v>68</v>
      </c>
      <c r="E16" s="178" t="s">
        <v>1</v>
      </c>
      <c r="F16" s="14">
        <f>F17</f>
        <v>3150.3</v>
      </c>
      <c r="G16" s="14">
        <f t="shared" si="0"/>
        <v>2461.8000000000002</v>
      </c>
      <c r="H16" s="14">
        <f t="shared" si="0"/>
        <v>2461.8000000000002</v>
      </c>
    </row>
    <row r="17" spans="1:8" ht="31.5">
      <c r="A17" s="177" t="s">
        <v>19</v>
      </c>
      <c r="B17" s="177" t="s">
        <v>43</v>
      </c>
      <c r="C17" s="177">
        <v>9990021000</v>
      </c>
      <c r="D17" s="177">
        <v>120</v>
      </c>
      <c r="E17" s="178" t="s">
        <v>217</v>
      </c>
      <c r="F17" s="14">
        <f>2461.8+688.5</f>
        <v>3150.3</v>
      </c>
      <c r="G17" s="14">
        <v>2461.8000000000002</v>
      </c>
      <c r="H17" s="14">
        <v>2461.8000000000002</v>
      </c>
    </row>
    <row r="18" spans="1:8" ht="47.25">
      <c r="A18" s="177" t="s">
        <v>19</v>
      </c>
      <c r="B18" s="177" t="s">
        <v>45</v>
      </c>
      <c r="C18" s="177" t="s">
        <v>66</v>
      </c>
      <c r="D18" s="177" t="s">
        <v>66</v>
      </c>
      <c r="E18" s="178" t="s">
        <v>22</v>
      </c>
      <c r="F18" s="14">
        <f t="shared" ref="F18:H20" si="1">F19</f>
        <v>38403.899999999994</v>
      </c>
      <c r="G18" s="14">
        <f t="shared" si="1"/>
        <v>35574.799999999996</v>
      </c>
      <c r="H18" s="14">
        <f t="shared" si="1"/>
        <v>35583.199999999997</v>
      </c>
    </row>
    <row r="19" spans="1:8">
      <c r="A19" s="177" t="s">
        <v>19</v>
      </c>
      <c r="B19" s="177" t="s">
        <v>45</v>
      </c>
      <c r="C19" s="177">
        <v>9900000000</v>
      </c>
      <c r="D19" s="177"/>
      <c r="E19" s="178" t="s">
        <v>105</v>
      </c>
      <c r="F19" s="14">
        <f t="shared" si="1"/>
        <v>38403.899999999994</v>
      </c>
      <c r="G19" s="14">
        <f t="shared" si="1"/>
        <v>35574.799999999996</v>
      </c>
      <c r="H19" s="14">
        <f t="shared" si="1"/>
        <v>35583.199999999997</v>
      </c>
    </row>
    <row r="20" spans="1:8" ht="31.5">
      <c r="A20" s="177" t="s">
        <v>19</v>
      </c>
      <c r="B20" s="177" t="s">
        <v>45</v>
      </c>
      <c r="C20" s="177">
        <v>9990000000</v>
      </c>
      <c r="D20" s="177"/>
      <c r="E20" s="178" t="s">
        <v>145</v>
      </c>
      <c r="F20" s="14">
        <f t="shared" si="1"/>
        <v>38403.899999999994</v>
      </c>
      <c r="G20" s="14">
        <f t="shared" si="1"/>
        <v>35574.799999999996</v>
      </c>
      <c r="H20" s="14">
        <f t="shared" si="1"/>
        <v>35583.199999999997</v>
      </c>
    </row>
    <row r="21" spans="1:8" ht="31.5">
      <c r="A21" s="177" t="s">
        <v>19</v>
      </c>
      <c r="B21" s="177" t="s">
        <v>45</v>
      </c>
      <c r="C21" s="177">
        <v>9990200000</v>
      </c>
      <c r="D21" s="30"/>
      <c r="E21" s="178" t="s">
        <v>117</v>
      </c>
      <c r="F21" s="14">
        <f>F25+F22+F30</f>
        <v>38403.899999999994</v>
      </c>
      <c r="G21" s="14">
        <f t="shared" ref="G21:H21" si="2">G25+G22+G30</f>
        <v>35574.799999999996</v>
      </c>
      <c r="H21" s="14">
        <f t="shared" si="2"/>
        <v>35583.199999999997</v>
      </c>
    </row>
    <row r="22" spans="1:8" ht="63">
      <c r="A22" s="177" t="s">
        <v>19</v>
      </c>
      <c r="B22" s="177" t="s">
        <v>45</v>
      </c>
      <c r="C22" s="177">
        <v>9990210510</v>
      </c>
      <c r="D22" s="177"/>
      <c r="E22" s="178" t="s">
        <v>147</v>
      </c>
      <c r="F22" s="14">
        <f t="shared" ref="F22:H23" si="3">F23</f>
        <v>1287.5</v>
      </c>
      <c r="G22" s="14">
        <f t="shared" si="3"/>
        <v>1295.5</v>
      </c>
      <c r="H22" s="14">
        <f t="shared" si="3"/>
        <v>1303.9000000000001</v>
      </c>
    </row>
    <row r="23" spans="1:8" ht="63">
      <c r="A23" s="177" t="s">
        <v>19</v>
      </c>
      <c r="B23" s="177" t="s">
        <v>45</v>
      </c>
      <c r="C23" s="177">
        <v>9990210510</v>
      </c>
      <c r="D23" s="177" t="s">
        <v>68</v>
      </c>
      <c r="E23" s="178" t="s">
        <v>1</v>
      </c>
      <c r="F23" s="14">
        <f t="shared" si="3"/>
        <v>1287.5</v>
      </c>
      <c r="G23" s="14">
        <f t="shared" si="3"/>
        <v>1295.5</v>
      </c>
      <c r="H23" s="14">
        <f t="shared" si="3"/>
        <v>1303.9000000000001</v>
      </c>
    </row>
    <row r="24" spans="1:8" ht="31.5">
      <c r="A24" s="177" t="s">
        <v>19</v>
      </c>
      <c r="B24" s="177" t="s">
        <v>45</v>
      </c>
      <c r="C24" s="177">
        <v>9990210510</v>
      </c>
      <c r="D24" s="177">
        <v>120</v>
      </c>
      <c r="E24" s="178" t="s">
        <v>217</v>
      </c>
      <c r="F24" s="14">
        <v>1287.5</v>
      </c>
      <c r="G24" s="14">
        <v>1295.5</v>
      </c>
      <c r="H24" s="14">
        <v>1303.9000000000001</v>
      </c>
    </row>
    <row r="25" spans="1:8" ht="47.25">
      <c r="A25" s="177" t="s">
        <v>19</v>
      </c>
      <c r="B25" s="177" t="s">
        <v>45</v>
      </c>
      <c r="C25" s="177">
        <v>9990225000</v>
      </c>
      <c r="D25" s="177"/>
      <c r="E25" s="178" t="s">
        <v>118</v>
      </c>
      <c r="F25" s="14">
        <f>F26+F28</f>
        <v>36727.399999999994</v>
      </c>
      <c r="G25" s="14">
        <f t="shared" ref="G25:H25" si="4">G26+G28</f>
        <v>34279.299999999996</v>
      </c>
      <c r="H25" s="14">
        <f t="shared" si="4"/>
        <v>34279.299999999996</v>
      </c>
    </row>
    <row r="26" spans="1:8" ht="63">
      <c r="A26" s="177" t="s">
        <v>19</v>
      </c>
      <c r="B26" s="177" t="s">
        <v>45</v>
      </c>
      <c r="C26" s="177">
        <v>9990225000</v>
      </c>
      <c r="D26" s="177" t="s">
        <v>68</v>
      </c>
      <c r="E26" s="178" t="s">
        <v>1</v>
      </c>
      <c r="F26" s="14">
        <f>F27</f>
        <v>34214.199999999997</v>
      </c>
      <c r="G26" s="14">
        <f>G27</f>
        <v>34175.699999999997</v>
      </c>
      <c r="H26" s="14">
        <f>H27</f>
        <v>34175.699999999997</v>
      </c>
    </row>
    <row r="27" spans="1:8" ht="31.5">
      <c r="A27" s="177" t="s">
        <v>19</v>
      </c>
      <c r="B27" s="177" t="s">
        <v>45</v>
      </c>
      <c r="C27" s="177">
        <v>9990225000</v>
      </c>
      <c r="D27" s="177">
        <v>120</v>
      </c>
      <c r="E27" s="178" t="s">
        <v>217</v>
      </c>
      <c r="F27" s="14">
        <f>34175.7+727-688.5</f>
        <v>34214.199999999997</v>
      </c>
      <c r="G27" s="14">
        <v>34175.699999999997</v>
      </c>
      <c r="H27" s="14">
        <v>34175.699999999997</v>
      </c>
    </row>
    <row r="28" spans="1:8">
      <c r="A28" s="177" t="s">
        <v>19</v>
      </c>
      <c r="B28" s="177" t="s">
        <v>45</v>
      </c>
      <c r="C28" s="177">
        <v>9990225000</v>
      </c>
      <c r="D28" s="177" t="s">
        <v>70</v>
      </c>
      <c r="E28" s="178" t="s">
        <v>71</v>
      </c>
      <c r="F28" s="14">
        <f>F29</f>
        <v>2513.1999999999998</v>
      </c>
      <c r="G28" s="14">
        <f>G29</f>
        <v>103.6</v>
      </c>
      <c r="H28" s="14">
        <f>H29</f>
        <v>103.6</v>
      </c>
    </row>
    <row r="29" spans="1:8">
      <c r="A29" s="177" t="s">
        <v>19</v>
      </c>
      <c r="B29" s="177" t="s">
        <v>45</v>
      </c>
      <c r="C29" s="177">
        <v>9990225000</v>
      </c>
      <c r="D29" s="177">
        <v>850</v>
      </c>
      <c r="E29" s="178" t="s">
        <v>100</v>
      </c>
      <c r="F29" s="14">
        <f>103.6+2651.4-220.9-20.9</f>
        <v>2513.1999999999998</v>
      </c>
      <c r="G29" s="14">
        <v>103.6</v>
      </c>
      <c r="H29" s="14">
        <v>103.6</v>
      </c>
    </row>
    <row r="30" spans="1:8" ht="47.25">
      <c r="A30" s="177" t="s">
        <v>19</v>
      </c>
      <c r="B30" s="177" t="s">
        <v>45</v>
      </c>
      <c r="C30" s="92">
        <v>9990255492</v>
      </c>
      <c r="D30" s="177"/>
      <c r="E30" s="178" t="s">
        <v>804</v>
      </c>
      <c r="F30" s="14">
        <f>F31</f>
        <v>389</v>
      </c>
      <c r="G30" s="14">
        <f t="shared" ref="G30:H31" si="5">G31</f>
        <v>0</v>
      </c>
      <c r="H30" s="14">
        <f t="shared" si="5"/>
        <v>0</v>
      </c>
    </row>
    <row r="31" spans="1:8" ht="63">
      <c r="A31" s="177" t="s">
        <v>19</v>
      </c>
      <c r="B31" s="177" t="s">
        <v>45</v>
      </c>
      <c r="C31" s="92">
        <v>9990255492</v>
      </c>
      <c r="D31" s="177" t="s">
        <v>68</v>
      </c>
      <c r="E31" s="178" t="s">
        <v>1</v>
      </c>
      <c r="F31" s="14">
        <f>F32</f>
        <v>389</v>
      </c>
      <c r="G31" s="14">
        <f t="shared" si="5"/>
        <v>0</v>
      </c>
      <c r="H31" s="14">
        <f t="shared" si="5"/>
        <v>0</v>
      </c>
    </row>
    <row r="32" spans="1:8" ht="37.5" customHeight="1">
      <c r="A32" s="177" t="s">
        <v>19</v>
      </c>
      <c r="B32" s="177" t="s">
        <v>45</v>
      </c>
      <c r="C32" s="92">
        <v>9990255492</v>
      </c>
      <c r="D32" s="177">
        <v>120</v>
      </c>
      <c r="E32" s="178" t="s">
        <v>217</v>
      </c>
      <c r="F32" s="14">
        <v>389</v>
      </c>
      <c r="G32" s="14">
        <v>0</v>
      </c>
      <c r="H32" s="14">
        <v>0</v>
      </c>
    </row>
    <row r="33" spans="1:8">
      <c r="A33" s="177" t="s">
        <v>19</v>
      </c>
      <c r="B33" s="6" t="s">
        <v>152</v>
      </c>
      <c r="C33" s="7"/>
      <c r="D33" s="8"/>
      <c r="E33" s="22" t="s">
        <v>153</v>
      </c>
      <c r="F33" s="14">
        <f>F34</f>
        <v>210.3</v>
      </c>
      <c r="G33" s="14">
        <f>G34</f>
        <v>19.100000000000001</v>
      </c>
      <c r="H33" s="14">
        <f>H34</f>
        <v>20.7</v>
      </c>
    </row>
    <row r="34" spans="1:8">
      <c r="A34" s="177" t="s">
        <v>19</v>
      </c>
      <c r="B34" s="6" t="s">
        <v>152</v>
      </c>
      <c r="C34" s="177">
        <v>9900000000</v>
      </c>
      <c r="D34" s="177"/>
      <c r="E34" s="178" t="s">
        <v>105</v>
      </c>
      <c r="F34" s="14">
        <f>F35</f>
        <v>210.3</v>
      </c>
      <c r="G34" s="14">
        <f t="shared" ref="G34:H37" si="6">G35</f>
        <v>19.100000000000001</v>
      </c>
      <c r="H34" s="14">
        <f t="shared" si="6"/>
        <v>20.7</v>
      </c>
    </row>
    <row r="35" spans="1:8" ht="31.5">
      <c r="A35" s="177" t="s">
        <v>19</v>
      </c>
      <c r="B35" s="6" t="s">
        <v>152</v>
      </c>
      <c r="C35" s="177">
        <v>9930000000</v>
      </c>
      <c r="D35" s="177"/>
      <c r="E35" s="178" t="s">
        <v>154</v>
      </c>
      <c r="F35" s="14">
        <f>F36</f>
        <v>210.3</v>
      </c>
      <c r="G35" s="14">
        <f t="shared" si="6"/>
        <v>19.100000000000001</v>
      </c>
      <c r="H35" s="14">
        <f t="shared" si="6"/>
        <v>20.7</v>
      </c>
    </row>
    <row r="36" spans="1:8" ht="47.25">
      <c r="A36" s="177" t="s">
        <v>19</v>
      </c>
      <c r="B36" s="6" t="s">
        <v>152</v>
      </c>
      <c r="C36" s="177">
        <v>9930051200</v>
      </c>
      <c r="D36" s="177"/>
      <c r="E36" s="178" t="s">
        <v>155</v>
      </c>
      <c r="F36" s="14">
        <f>F37</f>
        <v>210.3</v>
      </c>
      <c r="G36" s="14">
        <f t="shared" si="6"/>
        <v>19.100000000000001</v>
      </c>
      <c r="H36" s="14">
        <f t="shared" si="6"/>
        <v>20.7</v>
      </c>
    </row>
    <row r="37" spans="1:8" ht="31.5">
      <c r="A37" s="177" t="s">
        <v>19</v>
      </c>
      <c r="B37" s="6" t="s">
        <v>152</v>
      </c>
      <c r="C37" s="177">
        <v>9930051200</v>
      </c>
      <c r="D37" s="177" t="s">
        <v>69</v>
      </c>
      <c r="E37" s="178" t="s">
        <v>95</v>
      </c>
      <c r="F37" s="14">
        <f>F38</f>
        <v>210.3</v>
      </c>
      <c r="G37" s="14">
        <f t="shared" si="6"/>
        <v>19.100000000000001</v>
      </c>
      <c r="H37" s="14">
        <f t="shared" si="6"/>
        <v>20.7</v>
      </c>
    </row>
    <row r="38" spans="1:8" ht="31.5">
      <c r="A38" s="177" t="s">
        <v>19</v>
      </c>
      <c r="B38" s="6" t="s">
        <v>152</v>
      </c>
      <c r="C38" s="177">
        <v>9930051200</v>
      </c>
      <c r="D38" s="177">
        <v>240</v>
      </c>
      <c r="E38" s="178" t="s">
        <v>216</v>
      </c>
      <c r="F38" s="14">
        <v>210.3</v>
      </c>
      <c r="G38" s="14">
        <v>19.100000000000001</v>
      </c>
      <c r="H38" s="14">
        <v>20.7</v>
      </c>
    </row>
    <row r="39" spans="1:8">
      <c r="A39" s="177" t="s">
        <v>19</v>
      </c>
      <c r="B39" s="6" t="s">
        <v>293</v>
      </c>
      <c r="C39" s="177"/>
      <c r="D39" s="177"/>
      <c r="E39" s="22" t="s">
        <v>292</v>
      </c>
      <c r="F39" s="14">
        <f>F40</f>
        <v>8000</v>
      </c>
      <c r="G39" s="14">
        <f t="shared" ref="G39:H43" si="7">G40</f>
        <v>0</v>
      </c>
      <c r="H39" s="14">
        <f t="shared" si="7"/>
        <v>0</v>
      </c>
    </row>
    <row r="40" spans="1:8">
      <c r="A40" s="177" t="s">
        <v>19</v>
      </c>
      <c r="B40" s="6" t="s">
        <v>293</v>
      </c>
      <c r="C40" s="177" t="s">
        <v>110</v>
      </c>
      <c r="D40" s="177" t="s">
        <v>66</v>
      </c>
      <c r="E40" s="178" t="s">
        <v>105</v>
      </c>
      <c r="F40" s="14">
        <f>F41</f>
        <v>8000</v>
      </c>
      <c r="G40" s="14">
        <f t="shared" si="7"/>
        <v>0</v>
      </c>
      <c r="H40" s="14">
        <f t="shared" si="7"/>
        <v>0</v>
      </c>
    </row>
    <row r="41" spans="1:8" ht="31.5">
      <c r="A41" s="177" t="s">
        <v>19</v>
      </c>
      <c r="B41" s="6" t="s">
        <v>293</v>
      </c>
      <c r="C41" s="177">
        <v>9930000000</v>
      </c>
      <c r="D41" s="177"/>
      <c r="E41" s="30" t="s">
        <v>154</v>
      </c>
      <c r="F41" s="14">
        <f>F42</f>
        <v>8000</v>
      </c>
      <c r="G41" s="14">
        <f t="shared" si="7"/>
        <v>0</v>
      </c>
      <c r="H41" s="14">
        <f t="shared" si="7"/>
        <v>0</v>
      </c>
    </row>
    <row r="42" spans="1:8" ht="31.5">
      <c r="A42" s="177" t="s">
        <v>19</v>
      </c>
      <c r="B42" s="6" t="s">
        <v>293</v>
      </c>
      <c r="C42" s="177">
        <v>9930020480</v>
      </c>
      <c r="D42" s="177"/>
      <c r="E42" s="178" t="s">
        <v>294</v>
      </c>
      <c r="F42" s="14">
        <f>F43</f>
        <v>8000</v>
      </c>
      <c r="G42" s="14">
        <f t="shared" si="7"/>
        <v>0</v>
      </c>
      <c r="H42" s="14">
        <f t="shared" si="7"/>
        <v>0</v>
      </c>
    </row>
    <row r="43" spans="1:8">
      <c r="A43" s="177" t="s">
        <v>19</v>
      </c>
      <c r="B43" s="6" t="s">
        <v>293</v>
      </c>
      <c r="C43" s="177">
        <v>9930020480</v>
      </c>
      <c r="D43" s="177" t="s">
        <v>70</v>
      </c>
      <c r="E43" s="178" t="s">
        <v>71</v>
      </c>
      <c r="F43" s="14">
        <f>F44</f>
        <v>8000</v>
      </c>
      <c r="G43" s="14">
        <f t="shared" si="7"/>
        <v>0</v>
      </c>
      <c r="H43" s="14">
        <f t="shared" si="7"/>
        <v>0</v>
      </c>
    </row>
    <row r="44" spans="1:8">
      <c r="A44" s="177" t="s">
        <v>19</v>
      </c>
      <c r="B44" s="6" t="s">
        <v>293</v>
      </c>
      <c r="C44" s="177">
        <v>9930020480</v>
      </c>
      <c r="D44" s="177">
        <v>880</v>
      </c>
      <c r="E44" s="178" t="s">
        <v>295</v>
      </c>
      <c r="F44" s="14">
        <f>4480.2+3519.8</f>
        <v>8000</v>
      </c>
      <c r="G44" s="14">
        <v>0</v>
      </c>
      <c r="H44" s="14">
        <v>0</v>
      </c>
    </row>
    <row r="45" spans="1:8">
      <c r="A45" s="177" t="s">
        <v>19</v>
      </c>
      <c r="B45" s="130" t="s">
        <v>209</v>
      </c>
      <c r="C45" s="120"/>
      <c r="D45" s="120"/>
      <c r="E45" s="131" t="s">
        <v>211</v>
      </c>
      <c r="F45" s="14">
        <f t="shared" ref="F45:F50" si="8">F46</f>
        <v>88.6</v>
      </c>
      <c r="G45" s="14">
        <f t="shared" ref="G45:H50" si="9">G46</f>
        <v>88.6</v>
      </c>
      <c r="H45" s="14">
        <f t="shared" si="9"/>
        <v>88.6</v>
      </c>
    </row>
    <row r="46" spans="1:8" ht="47.25">
      <c r="A46" s="177" t="s">
        <v>19</v>
      </c>
      <c r="B46" s="6" t="s">
        <v>209</v>
      </c>
      <c r="C46" s="177">
        <v>3200000000</v>
      </c>
      <c r="D46" s="177"/>
      <c r="E46" s="178" t="s">
        <v>329</v>
      </c>
      <c r="F46" s="14">
        <f t="shared" si="8"/>
        <v>88.6</v>
      </c>
      <c r="G46" s="14">
        <f t="shared" si="9"/>
        <v>88.6</v>
      </c>
      <c r="H46" s="14">
        <f t="shared" si="9"/>
        <v>88.6</v>
      </c>
    </row>
    <row r="47" spans="1:8" ht="31.5">
      <c r="A47" s="177" t="s">
        <v>19</v>
      </c>
      <c r="B47" s="6" t="s">
        <v>209</v>
      </c>
      <c r="C47" s="177">
        <v>3250000000</v>
      </c>
      <c r="D47" s="177"/>
      <c r="E47" s="178" t="s">
        <v>132</v>
      </c>
      <c r="F47" s="14">
        <f t="shared" si="8"/>
        <v>88.6</v>
      </c>
      <c r="G47" s="14">
        <f t="shared" si="9"/>
        <v>88.6</v>
      </c>
      <c r="H47" s="14">
        <f t="shared" si="9"/>
        <v>88.6</v>
      </c>
    </row>
    <row r="48" spans="1:8" ht="31.5">
      <c r="A48" s="177" t="s">
        <v>19</v>
      </c>
      <c r="B48" s="58" t="s">
        <v>209</v>
      </c>
      <c r="C48" s="177">
        <v>3250500000</v>
      </c>
      <c r="D48" s="177"/>
      <c r="E48" s="178" t="s">
        <v>133</v>
      </c>
      <c r="F48" s="14">
        <f t="shared" si="8"/>
        <v>88.6</v>
      </c>
      <c r="G48" s="14">
        <f t="shared" si="9"/>
        <v>88.6</v>
      </c>
      <c r="H48" s="14">
        <f t="shared" si="9"/>
        <v>88.6</v>
      </c>
    </row>
    <row r="49" spans="1:8" ht="31.5">
      <c r="A49" s="177" t="s">
        <v>19</v>
      </c>
      <c r="B49" s="6" t="s">
        <v>209</v>
      </c>
      <c r="C49" s="177">
        <v>3250520410</v>
      </c>
      <c r="D49" s="177"/>
      <c r="E49" s="178" t="s">
        <v>198</v>
      </c>
      <c r="F49" s="14">
        <f t="shared" si="8"/>
        <v>88.6</v>
      </c>
      <c r="G49" s="14">
        <f t="shared" si="9"/>
        <v>88.6</v>
      </c>
      <c r="H49" s="14">
        <f t="shared" si="9"/>
        <v>88.6</v>
      </c>
    </row>
    <row r="50" spans="1:8">
      <c r="A50" s="177" t="s">
        <v>19</v>
      </c>
      <c r="B50" s="6" t="s">
        <v>209</v>
      </c>
      <c r="C50" s="177">
        <v>3250520410</v>
      </c>
      <c r="D50" s="177" t="s">
        <v>70</v>
      </c>
      <c r="E50" s="178" t="s">
        <v>71</v>
      </c>
      <c r="F50" s="14">
        <f t="shared" si="8"/>
        <v>88.6</v>
      </c>
      <c r="G50" s="14">
        <f t="shared" si="9"/>
        <v>88.6</v>
      </c>
      <c r="H50" s="14">
        <f t="shared" si="9"/>
        <v>88.6</v>
      </c>
    </row>
    <row r="51" spans="1:8" ht="31.5">
      <c r="A51" s="177" t="s">
        <v>19</v>
      </c>
      <c r="B51" s="6" t="s">
        <v>209</v>
      </c>
      <c r="C51" s="177">
        <v>3250520410</v>
      </c>
      <c r="D51" s="177">
        <v>860</v>
      </c>
      <c r="E51" s="178" t="s">
        <v>219</v>
      </c>
      <c r="F51" s="14">
        <v>88.6</v>
      </c>
      <c r="G51" s="14">
        <v>88.6</v>
      </c>
      <c r="H51" s="14">
        <v>88.6</v>
      </c>
    </row>
    <row r="52" spans="1:8">
      <c r="A52" s="177" t="s">
        <v>19</v>
      </c>
      <c r="B52" s="177" t="s">
        <v>60</v>
      </c>
      <c r="C52" s="177" t="s">
        <v>66</v>
      </c>
      <c r="D52" s="177" t="s">
        <v>66</v>
      </c>
      <c r="E52" s="178" t="s">
        <v>23</v>
      </c>
      <c r="F52" s="14">
        <f>F53+F71+F90+F114</f>
        <v>39280.100000000006</v>
      </c>
      <c r="G52" s="14">
        <f t="shared" ref="G52:H52" si="10">G53+G71+G90+G114</f>
        <v>31498.699999999997</v>
      </c>
      <c r="H52" s="14">
        <f t="shared" si="10"/>
        <v>32367</v>
      </c>
    </row>
    <row r="53" spans="1:8" ht="47.25">
      <c r="A53" s="177" t="s">
        <v>19</v>
      </c>
      <c r="B53" s="177" t="s">
        <v>60</v>
      </c>
      <c r="C53" s="177">
        <v>3200000000</v>
      </c>
      <c r="D53" s="177"/>
      <c r="E53" s="178" t="s">
        <v>329</v>
      </c>
      <c r="F53" s="14">
        <f>F54</f>
        <v>1074</v>
      </c>
      <c r="G53" s="14">
        <f>G54</f>
        <v>790.1</v>
      </c>
      <c r="H53" s="14">
        <f>H54</f>
        <v>790.1</v>
      </c>
    </row>
    <row r="54" spans="1:8" ht="31.5">
      <c r="A54" s="177" t="s">
        <v>19</v>
      </c>
      <c r="B54" s="177" t="s">
        <v>60</v>
      </c>
      <c r="C54" s="177">
        <v>3250000000</v>
      </c>
      <c r="D54" s="177"/>
      <c r="E54" s="178" t="s">
        <v>132</v>
      </c>
      <c r="F54" s="14">
        <f>F55+F64</f>
        <v>1074</v>
      </c>
      <c r="G54" s="14">
        <f>G55+G64</f>
        <v>790.1</v>
      </c>
      <c r="H54" s="14">
        <f>H55+H64</f>
        <v>790.1</v>
      </c>
    </row>
    <row r="55" spans="1:8" ht="31.5">
      <c r="A55" s="177" t="s">
        <v>19</v>
      </c>
      <c r="B55" s="177" t="s">
        <v>60</v>
      </c>
      <c r="C55" s="177">
        <v>3250200000</v>
      </c>
      <c r="D55" s="177"/>
      <c r="E55" s="178" t="s">
        <v>144</v>
      </c>
      <c r="F55" s="14">
        <f>F56+F61</f>
        <v>190.5</v>
      </c>
      <c r="G55" s="14">
        <f>G56+G61</f>
        <v>6.6</v>
      </c>
      <c r="H55" s="14">
        <f>H56+H61</f>
        <v>6.6</v>
      </c>
    </row>
    <row r="56" spans="1:8">
      <c r="A56" s="177" t="s">
        <v>19</v>
      </c>
      <c r="B56" s="177" t="s">
        <v>60</v>
      </c>
      <c r="C56" s="177">
        <v>3250220340</v>
      </c>
      <c r="D56" s="177"/>
      <c r="E56" s="178" t="s">
        <v>148</v>
      </c>
      <c r="F56" s="14">
        <f>F57+F59</f>
        <v>183.9</v>
      </c>
      <c r="G56" s="14">
        <f>G57+G59</f>
        <v>0</v>
      </c>
      <c r="H56" s="14">
        <f>H57+H59</f>
        <v>0</v>
      </c>
    </row>
    <row r="57" spans="1:8" ht="31.5">
      <c r="A57" s="177" t="s">
        <v>19</v>
      </c>
      <c r="B57" s="177" t="s">
        <v>60</v>
      </c>
      <c r="C57" s="177">
        <v>3250220340</v>
      </c>
      <c r="D57" s="177" t="s">
        <v>69</v>
      </c>
      <c r="E57" s="178" t="s">
        <v>95</v>
      </c>
      <c r="F57" s="14">
        <f>F58</f>
        <v>113.4</v>
      </c>
      <c r="G57" s="14">
        <f>G58</f>
        <v>0</v>
      </c>
      <c r="H57" s="14">
        <f>H58</f>
        <v>0</v>
      </c>
    </row>
    <row r="58" spans="1:8" ht="31.5">
      <c r="A58" s="177" t="s">
        <v>19</v>
      </c>
      <c r="B58" s="177" t="s">
        <v>60</v>
      </c>
      <c r="C58" s="177">
        <v>3250220340</v>
      </c>
      <c r="D58" s="177">
        <v>240</v>
      </c>
      <c r="E58" s="178" t="s">
        <v>216</v>
      </c>
      <c r="F58" s="14">
        <v>113.4</v>
      </c>
      <c r="G58" s="14">
        <v>0</v>
      </c>
      <c r="H58" s="14">
        <v>0</v>
      </c>
    </row>
    <row r="59" spans="1:8">
      <c r="A59" s="177" t="s">
        <v>19</v>
      </c>
      <c r="B59" s="177" t="s">
        <v>60</v>
      </c>
      <c r="C59" s="177">
        <v>3250220340</v>
      </c>
      <c r="D59" s="177" t="s">
        <v>73</v>
      </c>
      <c r="E59" s="178" t="s">
        <v>74</v>
      </c>
      <c r="F59" s="14">
        <f>F60</f>
        <v>70.5</v>
      </c>
      <c r="G59" s="14">
        <f>G60</f>
        <v>0</v>
      </c>
      <c r="H59" s="14">
        <f>H60</f>
        <v>0</v>
      </c>
    </row>
    <row r="60" spans="1:8">
      <c r="A60" s="177" t="s">
        <v>19</v>
      </c>
      <c r="B60" s="177" t="s">
        <v>60</v>
      </c>
      <c r="C60" s="177">
        <v>3250220340</v>
      </c>
      <c r="D60" s="177">
        <v>350</v>
      </c>
      <c r="E60" s="26" t="s">
        <v>149</v>
      </c>
      <c r="F60" s="14">
        <v>70.5</v>
      </c>
      <c r="G60" s="14">
        <v>0</v>
      </c>
      <c r="H60" s="14">
        <v>0</v>
      </c>
    </row>
    <row r="61" spans="1:8" ht="31.5">
      <c r="A61" s="177" t="s">
        <v>19</v>
      </c>
      <c r="B61" s="177" t="s">
        <v>60</v>
      </c>
      <c r="C61" s="177">
        <v>3250220360</v>
      </c>
      <c r="D61" s="177"/>
      <c r="E61" s="26" t="s">
        <v>220</v>
      </c>
      <c r="F61" s="14">
        <f t="shared" ref="F61:H62" si="11">F62</f>
        <v>6.6</v>
      </c>
      <c r="G61" s="14">
        <f t="shared" si="11"/>
        <v>6.6</v>
      </c>
      <c r="H61" s="14">
        <f t="shared" si="11"/>
        <v>6.6</v>
      </c>
    </row>
    <row r="62" spans="1:8">
      <c r="A62" s="177" t="s">
        <v>19</v>
      </c>
      <c r="B62" s="177" t="s">
        <v>60</v>
      </c>
      <c r="C62" s="177">
        <v>3250220360</v>
      </c>
      <c r="D62" s="177" t="s">
        <v>73</v>
      </c>
      <c r="E62" s="178" t="s">
        <v>74</v>
      </c>
      <c r="F62" s="14">
        <f t="shared" si="11"/>
        <v>6.6</v>
      </c>
      <c r="G62" s="14">
        <f t="shared" si="11"/>
        <v>6.6</v>
      </c>
      <c r="H62" s="14">
        <f t="shared" si="11"/>
        <v>6.6</v>
      </c>
    </row>
    <row r="63" spans="1:8">
      <c r="A63" s="177" t="s">
        <v>19</v>
      </c>
      <c r="B63" s="177" t="s">
        <v>60</v>
      </c>
      <c r="C63" s="177">
        <v>3250220360</v>
      </c>
      <c r="D63" s="177">
        <v>350</v>
      </c>
      <c r="E63" s="26" t="s">
        <v>149</v>
      </c>
      <c r="F63" s="14">
        <v>6.6</v>
      </c>
      <c r="G63" s="14">
        <v>6.6</v>
      </c>
      <c r="H63" s="14">
        <v>6.6</v>
      </c>
    </row>
    <row r="64" spans="1:8" ht="31.5">
      <c r="A64" s="177" t="s">
        <v>19</v>
      </c>
      <c r="B64" s="177" t="s">
        <v>60</v>
      </c>
      <c r="C64" s="177">
        <v>3250500000</v>
      </c>
      <c r="D64" s="177"/>
      <c r="E64" s="178" t="s">
        <v>133</v>
      </c>
      <c r="F64" s="14">
        <f>F65+F68</f>
        <v>883.5</v>
      </c>
      <c r="G64" s="14">
        <f>G65+G68</f>
        <v>783.5</v>
      </c>
      <c r="H64" s="14">
        <f>H65+H68</f>
        <v>783.5</v>
      </c>
    </row>
    <row r="65" spans="1:8" ht="31.5">
      <c r="A65" s="177" t="s">
        <v>19</v>
      </c>
      <c r="B65" s="177" t="s">
        <v>60</v>
      </c>
      <c r="C65" s="177">
        <v>3250520410</v>
      </c>
      <c r="D65" s="177"/>
      <c r="E65" s="178" t="s">
        <v>198</v>
      </c>
      <c r="F65" s="14">
        <f t="shared" ref="F65:H66" si="12">F66</f>
        <v>156.1</v>
      </c>
      <c r="G65" s="14">
        <f t="shared" si="12"/>
        <v>156.1</v>
      </c>
      <c r="H65" s="14">
        <f t="shared" si="12"/>
        <v>156.1</v>
      </c>
    </row>
    <row r="66" spans="1:8">
      <c r="A66" s="177" t="s">
        <v>19</v>
      </c>
      <c r="B66" s="177" t="s">
        <v>60</v>
      </c>
      <c r="C66" s="177">
        <v>3250520410</v>
      </c>
      <c r="D66" s="177" t="s">
        <v>70</v>
      </c>
      <c r="E66" s="178" t="s">
        <v>71</v>
      </c>
      <c r="F66" s="14">
        <f t="shared" si="12"/>
        <v>156.1</v>
      </c>
      <c r="G66" s="14">
        <f t="shared" si="12"/>
        <v>156.1</v>
      </c>
      <c r="H66" s="14">
        <f t="shared" si="12"/>
        <v>156.1</v>
      </c>
    </row>
    <row r="67" spans="1:8">
      <c r="A67" s="177" t="s">
        <v>19</v>
      </c>
      <c r="B67" s="177" t="s">
        <v>60</v>
      </c>
      <c r="C67" s="177">
        <v>3250520410</v>
      </c>
      <c r="D67" s="177">
        <v>850</v>
      </c>
      <c r="E67" s="178" t="s">
        <v>100</v>
      </c>
      <c r="F67" s="14">
        <v>156.1</v>
      </c>
      <c r="G67" s="14">
        <v>156.1</v>
      </c>
      <c r="H67" s="14">
        <v>156.1</v>
      </c>
    </row>
    <row r="68" spans="1:8" ht="31.5">
      <c r="A68" s="177" t="s">
        <v>19</v>
      </c>
      <c r="B68" s="177" t="s">
        <v>60</v>
      </c>
      <c r="C68" s="177">
        <v>3250520460</v>
      </c>
      <c r="D68" s="177"/>
      <c r="E68" s="178" t="s">
        <v>212</v>
      </c>
      <c r="F68" s="14">
        <f t="shared" ref="F68:H69" si="13">F69</f>
        <v>727.4</v>
      </c>
      <c r="G68" s="14">
        <f t="shared" si="13"/>
        <v>627.4</v>
      </c>
      <c r="H68" s="14">
        <f t="shared" si="13"/>
        <v>627.4</v>
      </c>
    </row>
    <row r="69" spans="1:8" ht="31.5">
      <c r="A69" s="177" t="s">
        <v>19</v>
      </c>
      <c r="B69" s="177" t="s">
        <v>60</v>
      </c>
      <c r="C69" s="177">
        <v>3250520460</v>
      </c>
      <c r="D69" s="177" t="s">
        <v>69</v>
      </c>
      <c r="E69" s="178" t="s">
        <v>95</v>
      </c>
      <c r="F69" s="14">
        <f t="shared" si="13"/>
        <v>727.4</v>
      </c>
      <c r="G69" s="14">
        <f t="shared" si="13"/>
        <v>627.4</v>
      </c>
      <c r="H69" s="14">
        <f t="shared" si="13"/>
        <v>627.4</v>
      </c>
    </row>
    <row r="70" spans="1:8" ht="31.5">
      <c r="A70" s="177" t="s">
        <v>19</v>
      </c>
      <c r="B70" s="177" t="s">
        <v>60</v>
      </c>
      <c r="C70" s="177">
        <v>3250520460</v>
      </c>
      <c r="D70" s="177">
        <v>240</v>
      </c>
      <c r="E70" s="178" t="s">
        <v>216</v>
      </c>
      <c r="F70" s="14">
        <f>627.4+100</f>
        <v>727.4</v>
      </c>
      <c r="G70" s="14">
        <v>627.4</v>
      </c>
      <c r="H70" s="14">
        <v>627.4</v>
      </c>
    </row>
    <row r="71" spans="1:8" ht="31.5">
      <c r="A71" s="177" t="s">
        <v>19</v>
      </c>
      <c r="B71" s="177" t="s">
        <v>60</v>
      </c>
      <c r="C71" s="177">
        <v>3500000000</v>
      </c>
      <c r="D71" s="177"/>
      <c r="E71" s="178" t="s">
        <v>330</v>
      </c>
      <c r="F71" s="14">
        <f>F72+F77</f>
        <v>1761.1000000000001</v>
      </c>
      <c r="G71" s="14">
        <f>G72+G77</f>
        <v>1761.1000000000001</v>
      </c>
      <c r="H71" s="14">
        <f>H72+H77</f>
        <v>1761.1000000000001</v>
      </c>
    </row>
    <row r="72" spans="1:8">
      <c r="A72" s="177" t="s">
        <v>19</v>
      </c>
      <c r="B72" s="177" t="s">
        <v>60</v>
      </c>
      <c r="C72" s="177">
        <v>3510000000</v>
      </c>
      <c r="D72" s="177"/>
      <c r="E72" s="178" t="s">
        <v>150</v>
      </c>
      <c r="F72" s="14">
        <f>F73</f>
        <v>42.4</v>
      </c>
      <c r="G72" s="14">
        <f>G73</f>
        <v>42.4</v>
      </c>
      <c r="H72" s="14">
        <f>H73</f>
        <v>42.4</v>
      </c>
    </row>
    <row r="73" spans="1:8" ht="47.25">
      <c r="A73" s="177" t="s">
        <v>19</v>
      </c>
      <c r="B73" s="177" t="s">
        <v>60</v>
      </c>
      <c r="C73" s="177">
        <v>3510200000</v>
      </c>
      <c r="D73" s="177"/>
      <c r="E73" s="178" t="s">
        <v>170</v>
      </c>
      <c r="F73" s="14">
        <f>F74</f>
        <v>42.4</v>
      </c>
      <c r="G73" s="14">
        <f t="shared" ref="G73:H75" si="14">G74</f>
        <v>42.4</v>
      </c>
      <c r="H73" s="14">
        <f t="shared" si="14"/>
        <v>42.4</v>
      </c>
    </row>
    <row r="74" spans="1:8" ht="31.5">
      <c r="A74" s="177" t="s">
        <v>19</v>
      </c>
      <c r="B74" s="177" t="s">
        <v>60</v>
      </c>
      <c r="C74" s="177">
        <v>3510220170</v>
      </c>
      <c r="D74" s="177"/>
      <c r="E74" s="178" t="s">
        <v>171</v>
      </c>
      <c r="F74" s="14">
        <f>F75</f>
        <v>42.4</v>
      </c>
      <c r="G74" s="14">
        <f t="shared" si="14"/>
        <v>42.4</v>
      </c>
      <c r="H74" s="14">
        <f t="shared" si="14"/>
        <v>42.4</v>
      </c>
    </row>
    <row r="75" spans="1:8" ht="63">
      <c r="A75" s="177" t="s">
        <v>19</v>
      </c>
      <c r="B75" s="177" t="s">
        <v>60</v>
      </c>
      <c r="C75" s="177">
        <v>3510220170</v>
      </c>
      <c r="D75" s="177" t="s">
        <v>68</v>
      </c>
      <c r="E75" s="178" t="s">
        <v>1</v>
      </c>
      <c r="F75" s="14">
        <f>F76</f>
        <v>42.4</v>
      </c>
      <c r="G75" s="14">
        <f t="shared" si="14"/>
        <v>42.4</v>
      </c>
      <c r="H75" s="14">
        <f t="shared" si="14"/>
        <v>42.4</v>
      </c>
    </row>
    <row r="76" spans="1:8" ht="31.5">
      <c r="A76" s="177" t="s">
        <v>19</v>
      </c>
      <c r="B76" s="177" t="s">
        <v>60</v>
      </c>
      <c r="C76" s="177">
        <v>3510220170</v>
      </c>
      <c r="D76" s="177">
        <v>120</v>
      </c>
      <c r="E76" s="178" t="s">
        <v>217</v>
      </c>
      <c r="F76" s="14">
        <v>42.4</v>
      </c>
      <c r="G76" s="14">
        <v>42.4</v>
      </c>
      <c r="H76" s="14">
        <v>42.4</v>
      </c>
    </row>
    <row r="77" spans="1:8" ht="31.5">
      <c r="A77" s="177" t="s">
        <v>19</v>
      </c>
      <c r="B77" s="177" t="s">
        <v>60</v>
      </c>
      <c r="C77" s="177">
        <v>3520000000</v>
      </c>
      <c r="D77" s="177"/>
      <c r="E77" s="30" t="s">
        <v>224</v>
      </c>
      <c r="F77" s="14">
        <f>F78+F82+F86</f>
        <v>1718.7</v>
      </c>
      <c r="G77" s="14">
        <f t="shared" ref="G77:H77" si="15">G78+G82+G86</f>
        <v>1718.7</v>
      </c>
      <c r="H77" s="14">
        <f t="shared" si="15"/>
        <v>1718.7</v>
      </c>
    </row>
    <row r="78" spans="1:8" ht="31.5">
      <c r="A78" s="177" t="s">
        <v>19</v>
      </c>
      <c r="B78" s="177" t="s">
        <v>60</v>
      </c>
      <c r="C78" s="177">
        <v>3520300000</v>
      </c>
      <c r="D78" s="177"/>
      <c r="E78" s="30" t="s">
        <v>264</v>
      </c>
      <c r="F78" s="14">
        <f>F79</f>
        <v>104.4</v>
      </c>
      <c r="G78" s="14">
        <f t="shared" ref="G78:H80" si="16">G79</f>
        <v>104.4</v>
      </c>
      <c r="H78" s="14">
        <f t="shared" si="16"/>
        <v>104.4</v>
      </c>
    </row>
    <row r="79" spans="1:8">
      <c r="A79" s="177" t="s">
        <v>19</v>
      </c>
      <c r="B79" s="177" t="s">
        <v>60</v>
      </c>
      <c r="C79" s="177">
        <v>3520320300</v>
      </c>
      <c r="D79" s="177"/>
      <c r="E79" s="30" t="s">
        <v>265</v>
      </c>
      <c r="F79" s="14">
        <f>F80</f>
        <v>104.4</v>
      </c>
      <c r="G79" s="14">
        <f t="shared" si="16"/>
        <v>104.4</v>
      </c>
      <c r="H79" s="14">
        <f t="shared" si="16"/>
        <v>104.4</v>
      </c>
    </row>
    <row r="80" spans="1:8" ht="31.5">
      <c r="A80" s="177" t="s">
        <v>19</v>
      </c>
      <c r="B80" s="177" t="s">
        <v>60</v>
      </c>
      <c r="C80" s="177">
        <v>3520320300</v>
      </c>
      <c r="D80" s="177" t="s">
        <v>69</v>
      </c>
      <c r="E80" s="178" t="s">
        <v>95</v>
      </c>
      <c r="F80" s="14">
        <f>F81</f>
        <v>104.4</v>
      </c>
      <c r="G80" s="14">
        <f t="shared" si="16"/>
        <v>104.4</v>
      </c>
      <c r="H80" s="14">
        <f t="shared" si="16"/>
        <v>104.4</v>
      </c>
    </row>
    <row r="81" spans="1:8" ht="31.5">
      <c r="A81" s="177" t="s">
        <v>19</v>
      </c>
      <c r="B81" s="177" t="s">
        <v>60</v>
      </c>
      <c r="C81" s="177">
        <v>3520320300</v>
      </c>
      <c r="D81" s="177">
        <v>240</v>
      </c>
      <c r="E81" s="178" t="s">
        <v>216</v>
      </c>
      <c r="F81" s="14">
        <v>104.4</v>
      </c>
      <c r="G81" s="14">
        <v>104.4</v>
      </c>
      <c r="H81" s="14">
        <v>104.4</v>
      </c>
    </row>
    <row r="82" spans="1:8" ht="31.5">
      <c r="A82" s="177" t="s">
        <v>19</v>
      </c>
      <c r="B82" s="177" t="s">
        <v>60</v>
      </c>
      <c r="C82" s="177">
        <v>3520400000</v>
      </c>
      <c r="D82" s="177"/>
      <c r="E82" s="178" t="s">
        <v>270</v>
      </c>
      <c r="F82" s="14">
        <f t="shared" ref="F82:H84" si="17">F83</f>
        <v>139.4</v>
      </c>
      <c r="G82" s="14">
        <f t="shared" si="17"/>
        <v>139.4</v>
      </c>
      <c r="H82" s="14">
        <f t="shared" si="17"/>
        <v>139.4</v>
      </c>
    </row>
    <row r="83" spans="1:8">
      <c r="A83" s="177" t="s">
        <v>19</v>
      </c>
      <c r="B83" s="177" t="s">
        <v>60</v>
      </c>
      <c r="C83" s="177">
        <v>3520420300</v>
      </c>
      <c r="D83" s="177"/>
      <c r="E83" s="178" t="s">
        <v>271</v>
      </c>
      <c r="F83" s="14">
        <f t="shared" si="17"/>
        <v>139.4</v>
      </c>
      <c r="G83" s="14">
        <f t="shared" si="17"/>
        <v>139.4</v>
      </c>
      <c r="H83" s="14">
        <f t="shared" si="17"/>
        <v>139.4</v>
      </c>
    </row>
    <row r="84" spans="1:8" ht="31.5">
      <c r="A84" s="177" t="s">
        <v>19</v>
      </c>
      <c r="B84" s="177" t="s">
        <v>60</v>
      </c>
      <c r="C84" s="177">
        <v>3520420300</v>
      </c>
      <c r="D84" s="177" t="s">
        <v>69</v>
      </c>
      <c r="E84" s="178" t="s">
        <v>95</v>
      </c>
      <c r="F84" s="14">
        <f t="shared" si="17"/>
        <v>139.4</v>
      </c>
      <c r="G84" s="14">
        <f t="shared" si="17"/>
        <v>139.4</v>
      </c>
      <c r="H84" s="14">
        <f t="shared" si="17"/>
        <v>139.4</v>
      </c>
    </row>
    <row r="85" spans="1:8" ht="31.5">
      <c r="A85" s="177" t="s">
        <v>19</v>
      </c>
      <c r="B85" s="177" t="s">
        <v>60</v>
      </c>
      <c r="C85" s="177">
        <v>3520420300</v>
      </c>
      <c r="D85" s="177">
        <v>240</v>
      </c>
      <c r="E85" s="178" t="s">
        <v>216</v>
      </c>
      <c r="F85" s="14">
        <v>139.4</v>
      </c>
      <c r="G85" s="14">
        <v>139.4</v>
      </c>
      <c r="H85" s="14">
        <v>139.4</v>
      </c>
    </row>
    <row r="86" spans="1:8" ht="31.5">
      <c r="A86" s="177" t="s">
        <v>19</v>
      </c>
      <c r="B86" s="177" t="s">
        <v>60</v>
      </c>
      <c r="C86" s="177">
        <v>3520500000</v>
      </c>
      <c r="D86" s="177"/>
      <c r="E86" s="178" t="s">
        <v>269</v>
      </c>
      <c r="F86" s="14">
        <f>F87</f>
        <v>1474.9</v>
      </c>
      <c r="G86" s="14">
        <f t="shared" ref="G86:H88" si="18">G87</f>
        <v>1474.9</v>
      </c>
      <c r="H86" s="14">
        <f t="shared" si="18"/>
        <v>1474.9</v>
      </c>
    </row>
    <row r="87" spans="1:8">
      <c r="A87" s="177" t="s">
        <v>19</v>
      </c>
      <c r="B87" s="177" t="s">
        <v>60</v>
      </c>
      <c r="C87" s="177">
        <v>3520520200</v>
      </c>
      <c r="D87" s="177"/>
      <c r="E87" s="178" t="s">
        <v>252</v>
      </c>
      <c r="F87" s="14">
        <f>F88</f>
        <v>1474.9</v>
      </c>
      <c r="G87" s="14">
        <f t="shared" si="18"/>
        <v>1474.9</v>
      </c>
      <c r="H87" s="14">
        <f t="shared" si="18"/>
        <v>1474.9</v>
      </c>
    </row>
    <row r="88" spans="1:8" ht="31.5">
      <c r="A88" s="177" t="s">
        <v>19</v>
      </c>
      <c r="B88" s="177" t="s">
        <v>60</v>
      </c>
      <c r="C88" s="177">
        <v>3520520200</v>
      </c>
      <c r="D88" s="177" t="s">
        <v>69</v>
      </c>
      <c r="E88" s="178" t="s">
        <v>95</v>
      </c>
      <c r="F88" s="14">
        <f>F89</f>
        <v>1474.9</v>
      </c>
      <c r="G88" s="14">
        <f t="shared" si="18"/>
        <v>1474.9</v>
      </c>
      <c r="H88" s="14">
        <f t="shared" si="18"/>
        <v>1474.9</v>
      </c>
    </row>
    <row r="89" spans="1:8" ht="31.5">
      <c r="A89" s="177" t="s">
        <v>19</v>
      </c>
      <c r="B89" s="177" t="s">
        <v>60</v>
      </c>
      <c r="C89" s="177">
        <v>3520520200</v>
      </c>
      <c r="D89" s="177">
        <v>240</v>
      </c>
      <c r="E89" s="178" t="s">
        <v>216</v>
      </c>
      <c r="F89" s="14">
        <v>1474.9</v>
      </c>
      <c r="G89" s="14">
        <v>1474.9</v>
      </c>
      <c r="H89" s="14">
        <v>1474.9</v>
      </c>
    </row>
    <row r="90" spans="1:8" ht="47.25">
      <c r="A90" s="177" t="s">
        <v>19</v>
      </c>
      <c r="B90" s="177" t="s">
        <v>60</v>
      </c>
      <c r="C90" s="177">
        <v>3600000000</v>
      </c>
      <c r="D90" s="177"/>
      <c r="E90" s="178" t="s">
        <v>331</v>
      </c>
      <c r="F90" s="14">
        <f>F109+F97+F91</f>
        <v>5601.9000000000005</v>
      </c>
      <c r="G90" s="14">
        <f>G109+G97+G91</f>
        <v>26.5</v>
      </c>
      <c r="H90" s="14">
        <f>H109+H97+H91</f>
        <v>26.5</v>
      </c>
    </row>
    <row r="91" spans="1:8" ht="31.5">
      <c r="A91" s="177" t="s">
        <v>19</v>
      </c>
      <c r="B91" s="177" t="s">
        <v>60</v>
      </c>
      <c r="C91" s="177">
        <v>3610000000</v>
      </c>
      <c r="D91" s="177"/>
      <c r="E91" s="178" t="s">
        <v>107</v>
      </c>
      <c r="F91" s="14">
        <f>F92</f>
        <v>1641.8</v>
      </c>
      <c r="G91" s="14">
        <f t="shared" ref="G91:H95" si="19">G92</f>
        <v>0</v>
      </c>
      <c r="H91" s="14">
        <f t="shared" si="19"/>
        <v>0</v>
      </c>
    </row>
    <row r="92" spans="1:8">
      <c r="A92" s="177" t="s">
        <v>19</v>
      </c>
      <c r="B92" s="177" t="s">
        <v>60</v>
      </c>
      <c r="C92" s="177">
        <v>3610100000</v>
      </c>
      <c r="D92" s="177"/>
      <c r="E92" s="178" t="s">
        <v>108</v>
      </c>
      <c r="F92" s="14">
        <f>F93</f>
        <v>1641.8</v>
      </c>
      <c r="G92" s="14">
        <f t="shared" si="19"/>
        <v>0</v>
      </c>
      <c r="H92" s="14">
        <f t="shared" si="19"/>
        <v>0</v>
      </c>
    </row>
    <row r="93" spans="1:8" ht="31.5">
      <c r="A93" s="177" t="s">
        <v>19</v>
      </c>
      <c r="B93" s="177" t="s">
        <v>60</v>
      </c>
      <c r="C93" s="177">
        <v>3610300000</v>
      </c>
      <c r="D93" s="177"/>
      <c r="E93" s="30" t="s">
        <v>414</v>
      </c>
      <c r="F93" s="14">
        <f>F94</f>
        <v>1641.8</v>
      </c>
      <c r="G93" s="14">
        <f t="shared" si="19"/>
        <v>0</v>
      </c>
      <c r="H93" s="14">
        <f t="shared" si="19"/>
        <v>0</v>
      </c>
    </row>
    <row r="94" spans="1:8" ht="31.5">
      <c r="A94" s="177" t="s">
        <v>19</v>
      </c>
      <c r="B94" s="177" t="s">
        <v>60</v>
      </c>
      <c r="C94" s="177">
        <v>3610320030</v>
      </c>
      <c r="D94" s="177"/>
      <c r="E94" s="33" t="s">
        <v>415</v>
      </c>
      <c r="F94" s="14">
        <f>F95</f>
        <v>1641.8</v>
      </c>
      <c r="G94" s="14">
        <f t="shared" si="19"/>
        <v>0</v>
      </c>
      <c r="H94" s="14">
        <f t="shared" si="19"/>
        <v>0</v>
      </c>
    </row>
    <row r="95" spans="1:8" ht="31.5">
      <c r="A95" s="177" t="s">
        <v>19</v>
      </c>
      <c r="B95" s="177" t="s">
        <v>60</v>
      </c>
      <c r="C95" s="177">
        <v>3610320030</v>
      </c>
      <c r="D95" s="177" t="s">
        <v>69</v>
      </c>
      <c r="E95" s="178" t="s">
        <v>95</v>
      </c>
      <c r="F95" s="14">
        <f>F96</f>
        <v>1641.8</v>
      </c>
      <c r="G95" s="14">
        <f t="shared" si="19"/>
        <v>0</v>
      </c>
      <c r="H95" s="14">
        <f t="shared" si="19"/>
        <v>0</v>
      </c>
    </row>
    <row r="96" spans="1:8" ht="31.5">
      <c r="A96" s="177" t="s">
        <v>19</v>
      </c>
      <c r="B96" s="177" t="s">
        <v>60</v>
      </c>
      <c r="C96" s="177">
        <v>3610320030</v>
      </c>
      <c r="D96" s="177">
        <v>240</v>
      </c>
      <c r="E96" s="178" t="s">
        <v>216</v>
      </c>
      <c r="F96" s="14">
        <f>441.8+1200</f>
        <v>1641.8</v>
      </c>
      <c r="G96" s="14">
        <v>0</v>
      </c>
      <c r="H96" s="14">
        <v>0</v>
      </c>
    </row>
    <row r="97" spans="1:8" ht="47.25">
      <c r="A97" s="177" t="s">
        <v>19</v>
      </c>
      <c r="B97" s="177" t="s">
        <v>60</v>
      </c>
      <c r="C97" s="177">
        <v>3620000000</v>
      </c>
      <c r="D97" s="177"/>
      <c r="E97" s="178" t="s">
        <v>199</v>
      </c>
      <c r="F97" s="14">
        <f>F98+F105</f>
        <v>3600.1000000000004</v>
      </c>
      <c r="G97" s="14">
        <f>G98+G105</f>
        <v>0</v>
      </c>
      <c r="H97" s="14">
        <f>H98+H105</f>
        <v>0</v>
      </c>
    </row>
    <row r="98" spans="1:8" ht="47.25">
      <c r="A98" s="177" t="s">
        <v>19</v>
      </c>
      <c r="B98" s="177" t="s">
        <v>60</v>
      </c>
      <c r="C98" s="177">
        <v>3620100000</v>
      </c>
      <c r="D98" s="177"/>
      <c r="E98" s="178" t="s">
        <v>200</v>
      </c>
      <c r="F98" s="14">
        <f>F99+F102</f>
        <v>3044.9</v>
      </c>
      <c r="G98" s="14">
        <f>G99+G102</f>
        <v>0</v>
      </c>
      <c r="H98" s="14">
        <f>H99+H102</f>
        <v>0</v>
      </c>
    </row>
    <row r="99" spans="1:8" ht="47.25">
      <c r="A99" s="177" t="s">
        <v>19</v>
      </c>
      <c r="B99" s="177" t="s">
        <v>60</v>
      </c>
      <c r="C99" s="177">
        <v>3620120180</v>
      </c>
      <c r="D99" s="177"/>
      <c r="E99" s="178" t="s">
        <v>201</v>
      </c>
      <c r="F99" s="14">
        <f t="shared" ref="F99:H100" si="20">F100</f>
        <v>2171.8000000000002</v>
      </c>
      <c r="G99" s="14">
        <f t="shared" si="20"/>
        <v>0</v>
      </c>
      <c r="H99" s="14">
        <f t="shared" si="20"/>
        <v>0</v>
      </c>
    </row>
    <row r="100" spans="1:8" ht="31.5">
      <c r="A100" s="177" t="s">
        <v>19</v>
      </c>
      <c r="B100" s="177" t="s">
        <v>60</v>
      </c>
      <c r="C100" s="177">
        <v>3620120180</v>
      </c>
      <c r="D100" s="177" t="s">
        <v>69</v>
      </c>
      <c r="E100" s="178" t="s">
        <v>95</v>
      </c>
      <c r="F100" s="14">
        <f t="shared" si="20"/>
        <v>2171.8000000000002</v>
      </c>
      <c r="G100" s="14">
        <f t="shared" si="20"/>
        <v>0</v>
      </c>
      <c r="H100" s="14">
        <f t="shared" si="20"/>
        <v>0</v>
      </c>
    </row>
    <row r="101" spans="1:8" ht="31.5">
      <c r="A101" s="177" t="s">
        <v>19</v>
      </c>
      <c r="B101" s="177" t="s">
        <v>60</v>
      </c>
      <c r="C101" s="177">
        <v>3620120180</v>
      </c>
      <c r="D101" s="177">
        <v>240</v>
      </c>
      <c r="E101" s="178" t="s">
        <v>216</v>
      </c>
      <c r="F101" s="14">
        <f>2130+41.8</f>
        <v>2171.8000000000002</v>
      </c>
      <c r="G101" s="14">
        <v>0</v>
      </c>
      <c r="H101" s="14">
        <v>0</v>
      </c>
    </row>
    <row r="102" spans="1:8" ht="47.25">
      <c r="A102" s="177" t="s">
        <v>19</v>
      </c>
      <c r="B102" s="177" t="s">
        <v>60</v>
      </c>
      <c r="C102" s="177">
        <v>3620120520</v>
      </c>
      <c r="D102" s="177"/>
      <c r="E102" s="178" t="s">
        <v>206</v>
      </c>
      <c r="F102" s="14">
        <f t="shared" ref="F102:H103" si="21">F103</f>
        <v>873.1</v>
      </c>
      <c r="G102" s="14">
        <f t="shared" si="21"/>
        <v>0</v>
      </c>
      <c r="H102" s="14">
        <f t="shared" si="21"/>
        <v>0</v>
      </c>
    </row>
    <row r="103" spans="1:8" ht="31.5">
      <c r="A103" s="177" t="s">
        <v>19</v>
      </c>
      <c r="B103" s="177" t="s">
        <v>60</v>
      </c>
      <c r="C103" s="177">
        <v>3620120520</v>
      </c>
      <c r="D103" s="177" t="s">
        <v>69</v>
      </c>
      <c r="E103" s="178" t="s">
        <v>95</v>
      </c>
      <c r="F103" s="14">
        <f t="shared" si="21"/>
        <v>873.1</v>
      </c>
      <c r="G103" s="14">
        <f t="shared" si="21"/>
        <v>0</v>
      </c>
      <c r="H103" s="14">
        <f t="shared" si="21"/>
        <v>0</v>
      </c>
    </row>
    <row r="104" spans="1:8" ht="31.5">
      <c r="A104" s="177" t="s">
        <v>19</v>
      </c>
      <c r="B104" s="177" t="s">
        <v>60</v>
      </c>
      <c r="C104" s="177">
        <v>3620120520</v>
      </c>
      <c r="D104" s="177">
        <v>240</v>
      </c>
      <c r="E104" s="178" t="s">
        <v>216</v>
      </c>
      <c r="F104" s="14">
        <f>923.1-70+20</f>
        <v>873.1</v>
      </c>
      <c r="G104" s="14">
        <v>0</v>
      </c>
      <c r="H104" s="14">
        <v>0</v>
      </c>
    </row>
    <row r="105" spans="1:8" ht="47.25">
      <c r="A105" s="177" t="s">
        <v>19</v>
      </c>
      <c r="B105" s="177" t="s">
        <v>60</v>
      </c>
      <c r="C105" s="177">
        <v>3620200000</v>
      </c>
      <c r="D105" s="177"/>
      <c r="E105" s="178" t="s">
        <v>202</v>
      </c>
      <c r="F105" s="14">
        <f t="shared" ref="F105:H107" si="22">F106</f>
        <v>555.20000000000005</v>
      </c>
      <c r="G105" s="14">
        <f t="shared" si="22"/>
        <v>0</v>
      </c>
      <c r="H105" s="14">
        <f t="shared" si="22"/>
        <v>0</v>
      </c>
    </row>
    <row r="106" spans="1:8" ht="31.5">
      <c r="A106" s="177" t="s">
        <v>19</v>
      </c>
      <c r="B106" s="177" t="s">
        <v>60</v>
      </c>
      <c r="C106" s="177">
        <v>3620220530</v>
      </c>
      <c r="D106" s="177"/>
      <c r="E106" s="178" t="s">
        <v>203</v>
      </c>
      <c r="F106" s="14">
        <f t="shared" si="22"/>
        <v>555.20000000000005</v>
      </c>
      <c r="G106" s="14">
        <f t="shared" si="22"/>
        <v>0</v>
      </c>
      <c r="H106" s="14">
        <f t="shared" si="22"/>
        <v>0</v>
      </c>
    </row>
    <row r="107" spans="1:8" ht="31.5">
      <c r="A107" s="177" t="s">
        <v>19</v>
      </c>
      <c r="B107" s="177" t="s">
        <v>60</v>
      </c>
      <c r="C107" s="177">
        <v>3620220530</v>
      </c>
      <c r="D107" s="177" t="s">
        <v>69</v>
      </c>
      <c r="E107" s="178" t="s">
        <v>95</v>
      </c>
      <c r="F107" s="14">
        <f t="shared" si="22"/>
        <v>555.20000000000005</v>
      </c>
      <c r="G107" s="14">
        <f t="shared" si="22"/>
        <v>0</v>
      </c>
      <c r="H107" s="14">
        <f t="shared" si="22"/>
        <v>0</v>
      </c>
    </row>
    <row r="108" spans="1:8" ht="31.5">
      <c r="A108" s="177" t="s">
        <v>19</v>
      </c>
      <c r="B108" s="177" t="s">
        <v>60</v>
      </c>
      <c r="C108" s="177">
        <v>3620220530</v>
      </c>
      <c r="D108" s="177">
        <v>240</v>
      </c>
      <c r="E108" s="178" t="s">
        <v>216</v>
      </c>
      <c r="F108" s="14">
        <f>547+70-61.8</f>
        <v>555.20000000000005</v>
      </c>
      <c r="G108" s="14">
        <v>0</v>
      </c>
      <c r="H108" s="14">
        <v>0</v>
      </c>
    </row>
    <row r="109" spans="1:8" ht="47.25">
      <c r="A109" s="177" t="s">
        <v>19</v>
      </c>
      <c r="B109" s="177" t="s">
        <v>60</v>
      </c>
      <c r="C109" s="177">
        <v>3630000000</v>
      </c>
      <c r="D109" s="1"/>
      <c r="E109" s="26" t="s">
        <v>193</v>
      </c>
      <c r="F109" s="14">
        <f>F110</f>
        <v>360</v>
      </c>
      <c r="G109" s="14">
        <f>G110</f>
        <v>26.5</v>
      </c>
      <c r="H109" s="14">
        <f>H110</f>
        <v>26.5</v>
      </c>
    </row>
    <row r="110" spans="1:8" ht="31.5">
      <c r="A110" s="177" t="s">
        <v>19</v>
      </c>
      <c r="B110" s="177" t="s">
        <v>60</v>
      </c>
      <c r="C110" s="177">
        <v>3630200000</v>
      </c>
      <c r="D110" s="1"/>
      <c r="E110" s="26" t="s">
        <v>196</v>
      </c>
      <c r="F110" s="14">
        <f>F111</f>
        <v>360</v>
      </c>
      <c r="G110" s="14">
        <f t="shared" ref="G110:H112" si="23">G111</f>
        <v>26.5</v>
      </c>
      <c r="H110" s="14">
        <f t="shared" si="23"/>
        <v>26.5</v>
      </c>
    </row>
    <row r="111" spans="1:8">
      <c r="A111" s="177" t="s">
        <v>19</v>
      </c>
      <c r="B111" s="177" t="s">
        <v>60</v>
      </c>
      <c r="C111" s="177">
        <v>3630220250</v>
      </c>
      <c r="D111" s="1"/>
      <c r="E111" s="26" t="s">
        <v>194</v>
      </c>
      <c r="F111" s="14">
        <f>F112</f>
        <v>360</v>
      </c>
      <c r="G111" s="14">
        <f t="shared" si="23"/>
        <v>26.5</v>
      </c>
      <c r="H111" s="14">
        <f t="shared" si="23"/>
        <v>26.5</v>
      </c>
    </row>
    <row r="112" spans="1:8" ht="31.5">
      <c r="A112" s="177" t="s">
        <v>19</v>
      </c>
      <c r="B112" s="177" t="s">
        <v>60</v>
      </c>
      <c r="C112" s="177">
        <v>3630220250</v>
      </c>
      <c r="D112" s="177" t="s">
        <v>69</v>
      </c>
      <c r="E112" s="178" t="s">
        <v>95</v>
      </c>
      <c r="F112" s="14">
        <f>F113</f>
        <v>360</v>
      </c>
      <c r="G112" s="14">
        <f t="shared" si="23"/>
        <v>26.5</v>
      </c>
      <c r="H112" s="14">
        <f t="shared" si="23"/>
        <v>26.5</v>
      </c>
    </row>
    <row r="113" spans="1:8" ht="31.5">
      <c r="A113" s="177" t="s">
        <v>19</v>
      </c>
      <c r="B113" s="177" t="s">
        <v>60</v>
      </c>
      <c r="C113" s="177">
        <v>3630220250</v>
      </c>
      <c r="D113" s="177">
        <v>240</v>
      </c>
      <c r="E113" s="178" t="s">
        <v>216</v>
      </c>
      <c r="F113" s="14">
        <f>26.5+333.5</f>
        <v>360</v>
      </c>
      <c r="G113" s="14">
        <v>26.5</v>
      </c>
      <c r="H113" s="14">
        <v>26.5</v>
      </c>
    </row>
    <row r="114" spans="1:8">
      <c r="A114" s="177" t="s">
        <v>19</v>
      </c>
      <c r="B114" s="177" t="s">
        <v>60</v>
      </c>
      <c r="C114" s="177">
        <v>9900000000</v>
      </c>
      <c r="D114" s="177"/>
      <c r="E114" s="178" t="s">
        <v>105</v>
      </c>
      <c r="F114" s="14">
        <f>F115+F119</f>
        <v>30843.100000000002</v>
      </c>
      <c r="G114" s="14">
        <f t="shared" ref="G114:H114" si="24">G115+G119</f>
        <v>28920.999999999996</v>
      </c>
      <c r="H114" s="14">
        <f t="shared" si="24"/>
        <v>29789.3</v>
      </c>
    </row>
    <row r="115" spans="1:8" ht="31.5">
      <c r="A115" s="177" t="s">
        <v>19</v>
      </c>
      <c r="B115" s="177" t="s">
        <v>60</v>
      </c>
      <c r="C115" s="177">
        <v>9930000000</v>
      </c>
      <c r="D115" s="177"/>
      <c r="E115" s="178" t="s">
        <v>154</v>
      </c>
      <c r="F115" s="14">
        <f>F116</f>
        <v>20.9</v>
      </c>
      <c r="G115" s="14">
        <f t="shared" ref="G115:H117" si="25">G116</f>
        <v>0</v>
      </c>
      <c r="H115" s="14">
        <f t="shared" si="25"/>
        <v>0</v>
      </c>
    </row>
    <row r="116" spans="1:8" ht="31.5">
      <c r="A116" s="177" t="s">
        <v>19</v>
      </c>
      <c r="B116" s="177" t="s">
        <v>60</v>
      </c>
      <c r="C116" s="177">
        <v>9930020490</v>
      </c>
      <c r="D116" s="177"/>
      <c r="E116" s="30" t="s">
        <v>438</v>
      </c>
      <c r="F116" s="14">
        <f>F117</f>
        <v>20.9</v>
      </c>
      <c r="G116" s="14">
        <f t="shared" si="25"/>
        <v>0</v>
      </c>
      <c r="H116" s="14">
        <f t="shared" si="25"/>
        <v>0</v>
      </c>
    </row>
    <row r="117" spans="1:8">
      <c r="A117" s="177" t="s">
        <v>19</v>
      </c>
      <c r="B117" s="177" t="s">
        <v>60</v>
      </c>
      <c r="C117" s="177">
        <v>9930020490</v>
      </c>
      <c r="D117" s="8" t="s">
        <v>70</v>
      </c>
      <c r="E117" s="22" t="s">
        <v>71</v>
      </c>
      <c r="F117" s="14">
        <f>F118</f>
        <v>20.9</v>
      </c>
      <c r="G117" s="14">
        <f t="shared" si="25"/>
        <v>0</v>
      </c>
      <c r="H117" s="14">
        <f t="shared" si="25"/>
        <v>0</v>
      </c>
    </row>
    <row r="118" spans="1:8">
      <c r="A118" s="177" t="s">
        <v>19</v>
      </c>
      <c r="B118" s="177" t="s">
        <v>60</v>
      </c>
      <c r="C118" s="177">
        <v>9930020490</v>
      </c>
      <c r="D118" s="1" t="s">
        <v>445</v>
      </c>
      <c r="E118" s="65" t="s">
        <v>446</v>
      </c>
      <c r="F118" s="14">
        <v>20.9</v>
      </c>
      <c r="G118" s="14">
        <v>0</v>
      </c>
      <c r="H118" s="14">
        <v>0</v>
      </c>
    </row>
    <row r="119" spans="1:8" ht="31.5">
      <c r="A119" s="177" t="s">
        <v>19</v>
      </c>
      <c r="B119" s="177" t="s">
        <v>60</v>
      </c>
      <c r="C119" s="177">
        <v>9990000000</v>
      </c>
      <c r="D119" s="177"/>
      <c r="E119" s="178" t="s">
        <v>145</v>
      </c>
      <c r="F119" s="14">
        <f>F120+F124</f>
        <v>30822.2</v>
      </c>
      <c r="G119" s="14">
        <f>G120+G124</f>
        <v>28920.999999999996</v>
      </c>
      <c r="H119" s="14">
        <f>H120+H124</f>
        <v>29789.3</v>
      </c>
    </row>
    <row r="120" spans="1:8" ht="31.5">
      <c r="A120" s="177" t="s">
        <v>19</v>
      </c>
      <c r="B120" s="177" t="s">
        <v>60</v>
      </c>
      <c r="C120" s="177">
        <v>9990200000</v>
      </c>
      <c r="D120" s="30"/>
      <c r="E120" s="178" t="s">
        <v>117</v>
      </c>
      <c r="F120" s="14">
        <f t="shared" ref="F120:H122" si="26">F121</f>
        <v>491.4</v>
      </c>
      <c r="G120" s="14">
        <f t="shared" si="26"/>
        <v>493.8</v>
      </c>
      <c r="H120" s="14">
        <f t="shared" si="26"/>
        <v>496.4</v>
      </c>
    </row>
    <row r="121" spans="1:8" ht="78.75">
      <c r="A121" s="177" t="s">
        <v>19</v>
      </c>
      <c r="B121" s="177" t="s">
        <v>60</v>
      </c>
      <c r="C121" s="177">
        <v>9990210540</v>
      </c>
      <c r="D121" s="177"/>
      <c r="E121" s="178" t="s">
        <v>151</v>
      </c>
      <c r="F121" s="14">
        <f t="shared" si="26"/>
        <v>491.4</v>
      </c>
      <c r="G121" s="14">
        <f t="shared" si="26"/>
        <v>493.8</v>
      </c>
      <c r="H121" s="14">
        <f t="shared" si="26"/>
        <v>496.4</v>
      </c>
    </row>
    <row r="122" spans="1:8" ht="63">
      <c r="A122" s="177" t="s">
        <v>19</v>
      </c>
      <c r="B122" s="177" t="s">
        <v>60</v>
      </c>
      <c r="C122" s="177">
        <v>9990210540</v>
      </c>
      <c r="D122" s="177" t="s">
        <v>68</v>
      </c>
      <c r="E122" s="178" t="s">
        <v>1</v>
      </c>
      <c r="F122" s="14">
        <f t="shared" si="26"/>
        <v>491.4</v>
      </c>
      <c r="G122" s="14">
        <f t="shared" si="26"/>
        <v>493.8</v>
      </c>
      <c r="H122" s="14">
        <f t="shared" si="26"/>
        <v>496.4</v>
      </c>
    </row>
    <row r="123" spans="1:8" ht="31.5">
      <c r="A123" s="177" t="s">
        <v>19</v>
      </c>
      <c r="B123" s="177" t="s">
        <v>60</v>
      </c>
      <c r="C123" s="177">
        <v>9990210540</v>
      </c>
      <c r="D123" s="177">
        <v>120</v>
      </c>
      <c r="E123" s="178" t="s">
        <v>217</v>
      </c>
      <c r="F123" s="14">
        <v>491.4</v>
      </c>
      <c r="G123" s="14">
        <v>493.8</v>
      </c>
      <c r="H123" s="14">
        <v>496.4</v>
      </c>
    </row>
    <row r="124" spans="1:8" ht="31.5">
      <c r="A124" s="177" t="s">
        <v>19</v>
      </c>
      <c r="B124" s="177" t="s">
        <v>60</v>
      </c>
      <c r="C124" s="177">
        <v>9990300000</v>
      </c>
      <c r="D124" s="177"/>
      <c r="E124" s="178" t="s">
        <v>156</v>
      </c>
      <c r="F124" s="14">
        <f>F125</f>
        <v>30330.799999999999</v>
      </c>
      <c r="G124" s="14">
        <f t="shared" ref="G124:H124" si="27">G125</f>
        <v>28427.199999999997</v>
      </c>
      <c r="H124" s="14">
        <f t="shared" si="27"/>
        <v>29292.899999999998</v>
      </c>
    </row>
    <row r="125" spans="1:8" ht="31.5">
      <c r="A125" s="177" t="s">
        <v>19</v>
      </c>
      <c r="B125" s="177" t="s">
        <v>60</v>
      </c>
      <c r="C125" s="177">
        <v>9990327000</v>
      </c>
      <c r="D125" s="177"/>
      <c r="E125" s="178" t="s">
        <v>320</v>
      </c>
      <c r="F125" s="14">
        <f>F126+F128+F130</f>
        <v>30330.799999999999</v>
      </c>
      <c r="G125" s="14">
        <f t="shared" ref="G125:H125" si="28">G126+G128+G130</f>
        <v>28427.199999999997</v>
      </c>
      <c r="H125" s="14">
        <f t="shared" si="28"/>
        <v>29292.899999999998</v>
      </c>
    </row>
    <row r="126" spans="1:8" ht="63">
      <c r="A126" s="177" t="s">
        <v>19</v>
      </c>
      <c r="B126" s="177" t="s">
        <v>60</v>
      </c>
      <c r="C126" s="177">
        <v>9990327000</v>
      </c>
      <c r="D126" s="177" t="s">
        <v>68</v>
      </c>
      <c r="E126" s="178" t="s">
        <v>1</v>
      </c>
      <c r="F126" s="14">
        <f>F127</f>
        <v>22568</v>
      </c>
      <c r="G126" s="14">
        <f>G127</f>
        <v>23399.599999999999</v>
      </c>
      <c r="H126" s="14">
        <f>H127</f>
        <v>24265.3</v>
      </c>
    </row>
    <row r="127" spans="1:8">
      <c r="A127" s="177" t="s">
        <v>19</v>
      </c>
      <c r="B127" s="177" t="s">
        <v>60</v>
      </c>
      <c r="C127" s="177">
        <v>9990327000</v>
      </c>
      <c r="D127" s="177">
        <v>110</v>
      </c>
      <c r="E127" s="26" t="s">
        <v>157</v>
      </c>
      <c r="F127" s="14">
        <v>22568</v>
      </c>
      <c r="G127" s="14">
        <v>23399.599999999999</v>
      </c>
      <c r="H127" s="14">
        <v>24265.3</v>
      </c>
    </row>
    <row r="128" spans="1:8" ht="31.5">
      <c r="A128" s="177" t="s">
        <v>19</v>
      </c>
      <c r="B128" s="177" t="s">
        <v>60</v>
      </c>
      <c r="C128" s="177">
        <v>9990327000</v>
      </c>
      <c r="D128" s="177" t="s">
        <v>69</v>
      </c>
      <c r="E128" s="178" t="s">
        <v>95</v>
      </c>
      <c r="F128" s="14">
        <f>F129</f>
        <v>7735.2</v>
      </c>
      <c r="G128" s="14">
        <f>G129</f>
        <v>5000</v>
      </c>
      <c r="H128" s="14">
        <f>H129</f>
        <v>5000</v>
      </c>
    </row>
    <row r="129" spans="1:8" ht="31.5">
      <c r="A129" s="177" t="s">
        <v>19</v>
      </c>
      <c r="B129" s="177" t="s">
        <v>60</v>
      </c>
      <c r="C129" s="177">
        <v>9990327000</v>
      </c>
      <c r="D129" s="177">
        <v>240</v>
      </c>
      <c r="E129" s="178" t="s">
        <v>216</v>
      </c>
      <c r="F129" s="14">
        <v>7735.2</v>
      </c>
      <c r="G129" s="14">
        <v>5000</v>
      </c>
      <c r="H129" s="14">
        <v>5000</v>
      </c>
    </row>
    <row r="130" spans="1:8">
      <c r="A130" s="177" t="s">
        <v>19</v>
      </c>
      <c r="B130" s="177" t="s">
        <v>60</v>
      </c>
      <c r="C130" s="177">
        <v>9990327000</v>
      </c>
      <c r="D130" s="177" t="s">
        <v>70</v>
      </c>
      <c r="E130" s="178" t="s">
        <v>71</v>
      </c>
      <c r="F130" s="14">
        <f>F131</f>
        <v>27.6</v>
      </c>
      <c r="G130" s="14">
        <f>G131</f>
        <v>27.6</v>
      </c>
      <c r="H130" s="14">
        <f>H131</f>
        <v>27.6</v>
      </c>
    </row>
    <row r="131" spans="1:8">
      <c r="A131" s="177" t="s">
        <v>19</v>
      </c>
      <c r="B131" s="177" t="s">
        <v>60</v>
      </c>
      <c r="C131" s="177">
        <v>9990327000</v>
      </c>
      <c r="D131" s="177">
        <v>850</v>
      </c>
      <c r="E131" s="178" t="s">
        <v>100</v>
      </c>
      <c r="F131" s="14">
        <v>27.6</v>
      </c>
      <c r="G131" s="14">
        <v>27.6</v>
      </c>
      <c r="H131" s="14">
        <v>27.6</v>
      </c>
    </row>
    <row r="132" spans="1:8">
      <c r="A132" s="177" t="s">
        <v>19</v>
      </c>
      <c r="B132" s="177" t="s">
        <v>55</v>
      </c>
      <c r="C132" s="177" t="s">
        <v>66</v>
      </c>
      <c r="D132" s="177" t="s">
        <v>66</v>
      </c>
      <c r="E132" s="22" t="s">
        <v>24</v>
      </c>
      <c r="F132" s="14">
        <f>F133+F140</f>
        <v>15278.400000000001</v>
      </c>
      <c r="G132" s="14">
        <f>G133+G140</f>
        <v>15284.100000000002</v>
      </c>
      <c r="H132" s="14">
        <f>H133+H140</f>
        <v>15752.000000000002</v>
      </c>
    </row>
    <row r="133" spans="1:8">
      <c r="A133" s="177" t="s">
        <v>19</v>
      </c>
      <c r="B133" s="177" t="s">
        <v>75</v>
      </c>
      <c r="C133" s="177" t="s">
        <v>66</v>
      </c>
      <c r="D133" s="177" t="s">
        <v>66</v>
      </c>
      <c r="E133" s="178" t="s">
        <v>76</v>
      </c>
      <c r="F133" s="14">
        <f t="shared" ref="F133:F138" si="29">F134</f>
        <v>1705.2</v>
      </c>
      <c r="G133" s="14">
        <f t="shared" ref="G133:H137" si="30">G134</f>
        <v>1705.2</v>
      </c>
      <c r="H133" s="14">
        <f t="shared" si="30"/>
        <v>1705.2</v>
      </c>
    </row>
    <row r="134" spans="1:8">
      <c r="A134" s="177" t="s">
        <v>19</v>
      </c>
      <c r="B134" s="177" t="s">
        <v>75</v>
      </c>
      <c r="C134" s="177">
        <v>9900000000</v>
      </c>
      <c r="D134" s="177"/>
      <c r="E134" s="178" t="s">
        <v>105</v>
      </c>
      <c r="F134" s="14">
        <f t="shared" si="29"/>
        <v>1705.2</v>
      </c>
      <c r="G134" s="14">
        <f t="shared" si="30"/>
        <v>1705.2</v>
      </c>
      <c r="H134" s="14">
        <f t="shared" si="30"/>
        <v>1705.2</v>
      </c>
    </row>
    <row r="135" spans="1:8" ht="31.5">
      <c r="A135" s="177" t="s">
        <v>19</v>
      </c>
      <c r="B135" s="177" t="s">
        <v>75</v>
      </c>
      <c r="C135" s="177">
        <v>9990000000</v>
      </c>
      <c r="D135" s="177"/>
      <c r="E135" s="178" t="s">
        <v>145</v>
      </c>
      <c r="F135" s="14">
        <f t="shared" si="29"/>
        <v>1705.2</v>
      </c>
      <c r="G135" s="14">
        <f t="shared" si="30"/>
        <v>1705.2</v>
      </c>
      <c r="H135" s="14">
        <f t="shared" si="30"/>
        <v>1705.2</v>
      </c>
    </row>
    <row r="136" spans="1:8" ht="31.5">
      <c r="A136" s="177" t="s">
        <v>19</v>
      </c>
      <c r="B136" s="177" t="s">
        <v>75</v>
      </c>
      <c r="C136" s="177">
        <v>9990200000</v>
      </c>
      <c r="D136" s="30"/>
      <c r="E136" s="178" t="s">
        <v>117</v>
      </c>
      <c r="F136" s="14">
        <f t="shared" si="29"/>
        <v>1705.2</v>
      </c>
      <c r="G136" s="14">
        <f t="shared" si="30"/>
        <v>1705.2</v>
      </c>
      <c r="H136" s="14">
        <f t="shared" si="30"/>
        <v>1705.2</v>
      </c>
    </row>
    <row r="137" spans="1:8" ht="31.5">
      <c r="A137" s="177" t="s">
        <v>19</v>
      </c>
      <c r="B137" s="177" t="s">
        <v>75</v>
      </c>
      <c r="C137" s="177">
        <v>9990259302</v>
      </c>
      <c r="D137" s="177"/>
      <c r="E137" s="178" t="s">
        <v>158</v>
      </c>
      <c r="F137" s="14">
        <f t="shared" si="29"/>
        <v>1705.2</v>
      </c>
      <c r="G137" s="14">
        <f t="shared" si="30"/>
        <v>1705.2</v>
      </c>
      <c r="H137" s="14">
        <f t="shared" si="30"/>
        <v>1705.2</v>
      </c>
    </row>
    <row r="138" spans="1:8" ht="63">
      <c r="A138" s="177" t="s">
        <v>19</v>
      </c>
      <c r="B138" s="177" t="s">
        <v>75</v>
      </c>
      <c r="C138" s="177">
        <v>9990259302</v>
      </c>
      <c r="D138" s="177" t="s">
        <v>68</v>
      </c>
      <c r="E138" s="178" t="s">
        <v>1</v>
      </c>
      <c r="F138" s="14">
        <f t="shared" si="29"/>
        <v>1705.2</v>
      </c>
      <c r="G138" s="14">
        <f>G139</f>
        <v>1705.2</v>
      </c>
      <c r="H138" s="14">
        <f>H139</f>
        <v>1705.2</v>
      </c>
    </row>
    <row r="139" spans="1:8" ht="31.5">
      <c r="A139" s="177" t="s">
        <v>19</v>
      </c>
      <c r="B139" s="177" t="s">
        <v>75</v>
      </c>
      <c r="C139" s="177">
        <v>9990259302</v>
      </c>
      <c r="D139" s="177">
        <v>120</v>
      </c>
      <c r="E139" s="178" t="s">
        <v>217</v>
      </c>
      <c r="F139" s="14">
        <v>1705.2</v>
      </c>
      <c r="G139" s="14">
        <v>1705.2</v>
      </c>
      <c r="H139" s="14">
        <v>1705.2</v>
      </c>
    </row>
    <row r="140" spans="1:8" ht="31.5">
      <c r="A140" s="177" t="s">
        <v>19</v>
      </c>
      <c r="B140" s="58" t="s">
        <v>249</v>
      </c>
      <c r="C140" s="177"/>
      <c r="D140" s="177"/>
      <c r="E140" s="180" t="s">
        <v>250</v>
      </c>
      <c r="F140" s="14">
        <f t="shared" ref="F140:H145" si="31">F141</f>
        <v>13573.2</v>
      </c>
      <c r="G140" s="14">
        <f t="shared" si="31"/>
        <v>13578.900000000001</v>
      </c>
      <c r="H140" s="14">
        <f t="shared" si="31"/>
        <v>14046.800000000001</v>
      </c>
    </row>
    <row r="141" spans="1:8" ht="31.5">
      <c r="A141" s="177" t="s">
        <v>19</v>
      </c>
      <c r="B141" s="58" t="s">
        <v>249</v>
      </c>
      <c r="C141" s="177">
        <v>3500000000</v>
      </c>
      <c r="D141" s="177"/>
      <c r="E141" s="178" t="s">
        <v>330</v>
      </c>
      <c r="F141" s="14">
        <f>F142+F151</f>
        <v>13573.2</v>
      </c>
      <c r="G141" s="14">
        <f>G142+G151</f>
        <v>13578.900000000001</v>
      </c>
      <c r="H141" s="14">
        <f>H142+H151</f>
        <v>14046.800000000001</v>
      </c>
    </row>
    <row r="142" spans="1:8">
      <c r="A142" s="177" t="s">
        <v>19</v>
      </c>
      <c r="B142" s="58" t="s">
        <v>249</v>
      </c>
      <c r="C142" s="177">
        <v>3510000000</v>
      </c>
      <c r="D142" s="177"/>
      <c r="E142" s="178" t="s">
        <v>150</v>
      </c>
      <c r="F142" s="14">
        <f>F143+F147</f>
        <v>13355.7</v>
      </c>
      <c r="G142" s="14">
        <f t="shared" ref="G142:H142" si="32">G143+G147</f>
        <v>13361.400000000001</v>
      </c>
      <c r="H142" s="14">
        <f t="shared" si="32"/>
        <v>13829.300000000001</v>
      </c>
    </row>
    <row r="143" spans="1:8" ht="47.25">
      <c r="A143" s="177" t="s">
        <v>19</v>
      </c>
      <c r="B143" s="58" t="s">
        <v>249</v>
      </c>
      <c r="C143" s="177">
        <v>3510100000</v>
      </c>
      <c r="D143" s="177"/>
      <c r="E143" s="178" t="s">
        <v>172</v>
      </c>
      <c r="F143" s="14">
        <f t="shared" ref="F143:H143" si="33">F144</f>
        <v>13303.5</v>
      </c>
      <c r="G143" s="14">
        <f t="shared" si="33"/>
        <v>13309.2</v>
      </c>
      <c r="H143" s="14">
        <f t="shared" si="33"/>
        <v>13777.1</v>
      </c>
    </row>
    <row r="144" spans="1:8" ht="31.5">
      <c r="A144" s="177" t="s">
        <v>19</v>
      </c>
      <c r="B144" s="58" t="s">
        <v>249</v>
      </c>
      <c r="C144" s="177">
        <v>3510120010</v>
      </c>
      <c r="D144" s="177"/>
      <c r="E144" s="178" t="s">
        <v>123</v>
      </c>
      <c r="F144" s="14">
        <f t="shared" si="31"/>
        <v>13303.5</v>
      </c>
      <c r="G144" s="14">
        <f t="shared" si="31"/>
        <v>13309.2</v>
      </c>
      <c r="H144" s="14">
        <f t="shared" si="31"/>
        <v>13777.1</v>
      </c>
    </row>
    <row r="145" spans="1:8" ht="31.5">
      <c r="A145" s="177" t="s">
        <v>19</v>
      </c>
      <c r="B145" s="58" t="s">
        <v>249</v>
      </c>
      <c r="C145" s="177">
        <v>3510120010</v>
      </c>
      <c r="D145" s="177">
        <v>600</v>
      </c>
      <c r="E145" s="178" t="s">
        <v>83</v>
      </c>
      <c r="F145" s="14">
        <f t="shared" si="31"/>
        <v>13303.5</v>
      </c>
      <c r="G145" s="14">
        <f t="shared" si="31"/>
        <v>13309.2</v>
      </c>
      <c r="H145" s="14">
        <f t="shared" si="31"/>
        <v>13777.1</v>
      </c>
    </row>
    <row r="146" spans="1:8">
      <c r="A146" s="177" t="s">
        <v>19</v>
      </c>
      <c r="B146" s="58" t="s">
        <v>249</v>
      </c>
      <c r="C146" s="177">
        <v>3510120010</v>
      </c>
      <c r="D146" s="177">
        <v>610</v>
      </c>
      <c r="E146" s="178" t="s">
        <v>104</v>
      </c>
      <c r="F146" s="14">
        <f>12825.3+478.2</f>
        <v>13303.5</v>
      </c>
      <c r="G146" s="14">
        <v>13309.2</v>
      </c>
      <c r="H146" s="14">
        <v>13777.1</v>
      </c>
    </row>
    <row r="147" spans="1:8" ht="31.5">
      <c r="A147" s="177" t="s">
        <v>19</v>
      </c>
      <c r="B147" s="58" t="s">
        <v>249</v>
      </c>
      <c r="C147" s="177">
        <v>3510300000</v>
      </c>
      <c r="D147" s="177"/>
      <c r="E147" s="178" t="s">
        <v>283</v>
      </c>
      <c r="F147" s="14">
        <f>F148</f>
        <v>52.2</v>
      </c>
      <c r="G147" s="14">
        <f t="shared" ref="G147:H149" si="34">G148</f>
        <v>52.2</v>
      </c>
      <c r="H147" s="14">
        <f t="shared" si="34"/>
        <v>52.2</v>
      </c>
    </row>
    <row r="148" spans="1:8">
      <c r="A148" s="177" t="s">
        <v>19</v>
      </c>
      <c r="B148" s="58" t="s">
        <v>249</v>
      </c>
      <c r="C148" s="177">
        <v>3510320300</v>
      </c>
      <c r="D148" s="177"/>
      <c r="E148" s="178" t="s">
        <v>284</v>
      </c>
      <c r="F148" s="14">
        <f>F149</f>
        <v>52.2</v>
      </c>
      <c r="G148" s="14">
        <f t="shared" si="34"/>
        <v>52.2</v>
      </c>
      <c r="H148" s="14">
        <f t="shared" si="34"/>
        <v>52.2</v>
      </c>
    </row>
    <row r="149" spans="1:8" ht="31.5">
      <c r="A149" s="177" t="s">
        <v>19</v>
      </c>
      <c r="B149" s="58" t="s">
        <v>249</v>
      </c>
      <c r="C149" s="177">
        <v>3510320300</v>
      </c>
      <c r="D149" s="177" t="s">
        <v>69</v>
      </c>
      <c r="E149" s="178" t="s">
        <v>95</v>
      </c>
      <c r="F149" s="14">
        <f>F150</f>
        <v>52.2</v>
      </c>
      <c r="G149" s="14">
        <f t="shared" si="34"/>
        <v>52.2</v>
      </c>
      <c r="H149" s="14">
        <f t="shared" si="34"/>
        <v>52.2</v>
      </c>
    </row>
    <row r="150" spans="1:8" ht="31.5">
      <c r="A150" s="177" t="s">
        <v>19</v>
      </c>
      <c r="B150" s="58" t="s">
        <v>249</v>
      </c>
      <c r="C150" s="177">
        <v>3510320300</v>
      </c>
      <c r="D150" s="177">
        <v>240</v>
      </c>
      <c r="E150" s="178" t="s">
        <v>216</v>
      </c>
      <c r="F150" s="14">
        <v>52.2</v>
      </c>
      <c r="G150" s="14">
        <v>52.2</v>
      </c>
      <c r="H150" s="14">
        <v>52.2</v>
      </c>
    </row>
    <row r="151" spans="1:8" ht="31.5">
      <c r="A151" s="177" t="s">
        <v>19</v>
      </c>
      <c r="B151" s="58" t="s">
        <v>249</v>
      </c>
      <c r="C151" s="177">
        <v>3520000000</v>
      </c>
      <c r="D151" s="177"/>
      <c r="E151" s="30" t="s">
        <v>224</v>
      </c>
      <c r="F151" s="14">
        <f>F152</f>
        <v>217.5</v>
      </c>
      <c r="G151" s="14">
        <f t="shared" ref="G151:H151" si="35">G152</f>
        <v>217.5</v>
      </c>
      <c r="H151" s="14">
        <f t="shared" si="35"/>
        <v>217.5</v>
      </c>
    </row>
    <row r="152" spans="1:8" ht="31.5">
      <c r="A152" s="177" t="s">
        <v>19</v>
      </c>
      <c r="B152" s="58" t="s">
        <v>249</v>
      </c>
      <c r="C152" s="177">
        <v>3520400000</v>
      </c>
      <c r="D152" s="177"/>
      <c r="E152" s="178" t="s">
        <v>270</v>
      </c>
      <c r="F152" s="14">
        <f>F153</f>
        <v>217.5</v>
      </c>
      <c r="G152" s="14">
        <f t="shared" ref="G152:H154" si="36">G153</f>
        <v>217.5</v>
      </c>
      <c r="H152" s="14">
        <f t="shared" si="36"/>
        <v>217.5</v>
      </c>
    </row>
    <row r="153" spans="1:8">
      <c r="A153" s="177" t="s">
        <v>19</v>
      </c>
      <c r="B153" s="58" t="s">
        <v>249</v>
      </c>
      <c r="C153" s="177">
        <v>3520420300</v>
      </c>
      <c r="D153" s="177"/>
      <c r="E153" s="178" t="s">
        <v>271</v>
      </c>
      <c r="F153" s="14">
        <f>F154</f>
        <v>217.5</v>
      </c>
      <c r="G153" s="14">
        <f t="shared" si="36"/>
        <v>217.5</v>
      </c>
      <c r="H153" s="14">
        <f t="shared" si="36"/>
        <v>217.5</v>
      </c>
    </row>
    <row r="154" spans="1:8" ht="31.5">
      <c r="A154" s="177" t="s">
        <v>19</v>
      </c>
      <c r="B154" s="58" t="s">
        <v>249</v>
      </c>
      <c r="C154" s="177">
        <v>3520420300</v>
      </c>
      <c r="D154" s="177">
        <v>600</v>
      </c>
      <c r="E154" s="178" t="s">
        <v>83</v>
      </c>
      <c r="F154" s="14">
        <f>F155</f>
        <v>217.5</v>
      </c>
      <c r="G154" s="14">
        <f t="shared" si="36"/>
        <v>217.5</v>
      </c>
      <c r="H154" s="14">
        <f t="shared" si="36"/>
        <v>217.5</v>
      </c>
    </row>
    <row r="155" spans="1:8">
      <c r="A155" s="177" t="s">
        <v>19</v>
      </c>
      <c r="B155" s="58" t="s">
        <v>249</v>
      </c>
      <c r="C155" s="177">
        <v>3520420300</v>
      </c>
      <c r="D155" s="177">
        <v>610</v>
      </c>
      <c r="E155" s="178" t="s">
        <v>104</v>
      </c>
      <c r="F155" s="14">
        <v>217.5</v>
      </c>
      <c r="G155" s="14">
        <v>217.5</v>
      </c>
      <c r="H155" s="14">
        <v>217.5</v>
      </c>
    </row>
    <row r="156" spans="1:8">
      <c r="A156" s="177" t="s">
        <v>19</v>
      </c>
      <c r="B156" s="177" t="s">
        <v>56</v>
      </c>
      <c r="C156" s="177" t="s">
        <v>66</v>
      </c>
      <c r="D156" s="177" t="s">
        <v>66</v>
      </c>
      <c r="E156" s="22" t="s">
        <v>25</v>
      </c>
      <c r="F156" s="14">
        <f>F157+F204</f>
        <v>187992.69999999995</v>
      </c>
      <c r="G156" s="14">
        <f>G157+G204</f>
        <v>135294.50000000003</v>
      </c>
      <c r="H156" s="14">
        <f>H157+H204</f>
        <v>124728.1</v>
      </c>
    </row>
    <row r="157" spans="1:8">
      <c r="A157" s="177" t="s">
        <v>19</v>
      </c>
      <c r="B157" s="177" t="s">
        <v>6</v>
      </c>
      <c r="C157" s="177" t="s">
        <v>66</v>
      </c>
      <c r="D157" s="177" t="s">
        <v>66</v>
      </c>
      <c r="E157" s="178" t="s">
        <v>89</v>
      </c>
      <c r="F157" s="14">
        <f>F158+F199</f>
        <v>187959.69999999995</v>
      </c>
      <c r="G157" s="14">
        <f>G158+G199</f>
        <v>135294.50000000003</v>
      </c>
      <c r="H157" s="14">
        <f>H158+H199</f>
        <v>124728.1</v>
      </c>
    </row>
    <row r="158" spans="1:8" ht="47.25">
      <c r="A158" s="177" t="s">
        <v>19</v>
      </c>
      <c r="B158" s="177" t="s">
        <v>6</v>
      </c>
      <c r="C158" s="177">
        <v>3400000000</v>
      </c>
      <c r="D158" s="177"/>
      <c r="E158" s="178" t="s">
        <v>332</v>
      </c>
      <c r="F158" s="14">
        <f>F159+F184</f>
        <v>187809.69999999995</v>
      </c>
      <c r="G158" s="14">
        <f>G159+G184</f>
        <v>135294.50000000003</v>
      </c>
      <c r="H158" s="14">
        <f>H159+H184</f>
        <v>124728.1</v>
      </c>
    </row>
    <row r="159" spans="1:8">
      <c r="A159" s="177" t="s">
        <v>19</v>
      </c>
      <c r="B159" s="177" t="s">
        <v>6</v>
      </c>
      <c r="C159" s="177">
        <v>3410000000</v>
      </c>
      <c r="D159" s="177"/>
      <c r="E159" s="178" t="s">
        <v>124</v>
      </c>
      <c r="F159" s="14">
        <f>F160+F164+F174</f>
        <v>180162.89999999997</v>
      </c>
      <c r="G159" s="14">
        <f>G160+G164+G174</f>
        <v>131752.40000000002</v>
      </c>
      <c r="H159" s="14">
        <f>H160+H164+H174</f>
        <v>121044.3</v>
      </c>
    </row>
    <row r="160" spans="1:8">
      <c r="A160" s="177" t="s">
        <v>19</v>
      </c>
      <c r="B160" s="177" t="s">
        <v>6</v>
      </c>
      <c r="C160" s="177">
        <v>3410100000</v>
      </c>
      <c r="D160" s="30"/>
      <c r="E160" s="178" t="s">
        <v>173</v>
      </c>
      <c r="F160" s="14">
        <f>F161</f>
        <v>66577.7</v>
      </c>
      <c r="G160" s="14">
        <f t="shared" ref="G160:H161" si="37">G161</f>
        <v>50050.3</v>
      </c>
      <c r="H160" s="14">
        <f t="shared" si="37"/>
        <v>36074.1</v>
      </c>
    </row>
    <row r="161" spans="1:8" ht="31.5">
      <c r="A161" s="177" t="s">
        <v>19</v>
      </c>
      <c r="B161" s="177" t="s">
        <v>6</v>
      </c>
      <c r="C161" s="177" t="s">
        <v>333</v>
      </c>
      <c r="D161" s="177"/>
      <c r="E161" s="178" t="s">
        <v>125</v>
      </c>
      <c r="F161" s="14">
        <f>F162</f>
        <v>66577.7</v>
      </c>
      <c r="G161" s="14">
        <f t="shared" si="37"/>
        <v>50050.3</v>
      </c>
      <c r="H161" s="14">
        <f t="shared" si="37"/>
        <v>36074.1</v>
      </c>
    </row>
    <row r="162" spans="1:8" ht="31.5">
      <c r="A162" s="177" t="s">
        <v>19</v>
      </c>
      <c r="B162" s="177" t="s">
        <v>6</v>
      </c>
      <c r="C162" s="177" t="s">
        <v>333</v>
      </c>
      <c r="D162" s="177" t="s">
        <v>69</v>
      </c>
      <c r="E162" s="178" t="s">
        <v>95</v>
      </c>
      <c r="F162" s="14">
        <f>F163</f>
        <v>66577.7</v>
      </c>
      <c r="G162" s="14">
        <f t="shared" ref="G162:H162" si="38">G163</f>
        <v>50050.3</v>
      </c>
      <c r="H162" s="14">
        <f t="shared" si="38"/>
        <v>36074.1</v>
      </c>
    </row>
    <row r="163" spans="1:8" ht="31.5">
      <c r="A163" s="177" t="s">
        <v>19</v>
      </c>
      <c r="B163" s="177" t="s">
        <v>6</v>
      </c>
      <c r="C163" s="177" t="s">
        <v>333</v>
      </c>
      <c r="D163" s="177">
        <v>240</v>
      </c>
      <c r="E163" s="178" t="s">
        <v>216</v>
      </c>
      <c r="F163" s="14">
        <f>58765.1+1468.3+3100+3244.3</f>
        <v>66577.7</v>
      </c>
      <c r="G163" s="14">
        <f>37030.3+13020</f>
        <v>50050.3</v>
      </c>
      <c r="H163" s="14">
        <v>36074.1</v>
      </c>
    </row>
    <row r="164" spans="1:8" ht="47.25">
      <c r="A164" s="177" t="s">
        <v>19</v>
      </c>
      <c r="B164" s="177" t="s">
        <v>6</v>
      </c>
      <c r="C164" s="177">
        <v>3410200000</v>
      </c>
      <c r="D164" s="177"/>
      <c r="E164" s="178" t="s">
        <v>174</v>
      </c>
      <c r="F164" s="14">
        <f>F165+F168+F171</f>
        <v>76445.899999999994</v>
      </c>
      <c r="G164" s="14">
        <f t="shared" ref="G164:H164" si="39">G165+G168+G171</f>
        <v>64275.9</v>
      </c>
      <c r="H164" s="14">
        <f t="shared" si="39"/>
        <v>66846.899999999994</v>
      </c>
    </row>
    <row r="165" spans="1:8">
      <c r="A165" s="177" t="s">
        <v>19</v>
      </c>
      <c r="B165" s="177" t="s">
        <v>6</v>
      </c>
      <c r="C165" s="177" t="s">
        <v>334</v>
      </c>
      <c r="D165" s="177"/>
      <c r="E165" s="30" t="s">
        <v>222</v>
      </c>
      <c r="F165" s="14">
        <f>F166</f>
        <v>10546.800000000001</v>
      </c>
      <c r="G165" s="14">
        <f t="shared" ref="G165:H166" si="40">G166</f>
        <v>0</v>
      </c>
      <c r="H165" s="14">
        <f t="shared" si="40"/>
        <v>0</v>
      </c>
    </row>
    <row r="166" spans="1:8" ht="31.5">
      <c r="A166" s="177" t="s">
        <v>19</v>
      </c>
      <c r="B166" s="177" t="s">
        <v>6</v>
      </c>
      <c r="C166" s="177" t="s">
        <v>334</v>
      </c>
      <c r="D166" s="177" t="s">
        <v>69</v>
      </c>
      <c r="E166" s="30" t="s">
        <v>95</v>
      </c>
      <c r="F166" s="14">
        <f>F167</f>
        <v>10546.800000000001</v>
      </c>
      <c r="G166" s="14">
        <f t="shared" si="40"/>
        <v>0</v>
      </c>
      <c r="H166" s="14">
        <f t="shared" si="40"/>
        <v>0</v>
      </c>
    </row>
    <row r="167" spans="1:8" ht="31.5">
      <c r="A167" s="177" t="s">
        <v>19</v>
      </c>
      <c r="B167" s="177" t="s">
        <v>6</v>
      </c>
      <c r="C167" s="177" t="s">
        <v>334</v>
      </c>
      <c r="D167" s="177">
        <v>240</v>
      </c>
      <c r="E167" s="30" t="s">
        <v>216</v>
      </c>
      <c r="F167" s="14">
        <f>3776.8+5764.8+5.2+1000</f>
        <v>10546.800000000001</v>
      </c>
      <c r="G167" s="14">
        <v>0</v>
      </c>
      <c r="H167" s="14">
        <v>0</v>
      </c>
    </row>
    <row r="168" spans="1:8" ht="31.5">
      <c r="A168" s="177" t="s">
        <v>19</v>
      </c>
      <c r="B168" s="177" t="s">
        <v>6</v>
      </c>
      <c r="C168" s="177" t="s">
        <v>336</v>
      </c>
      <c r="D168" s="177"/>
      <c r="E168" s="178" t="s">
        <v>308</v>
      </c>
      <c r="F168" s="14">
        <f t="shared" ref="F168:H169" si="41">F169</f>
        <v>61803.799999999996</v>
      </c>
      <c r="G168" s="14">
        <f t="shared" si="41"/>
        <v>64275.9</v>
      </c>
      <c r="H168" s="14">
        <f t="shared" si="41"/>
        <v>66846.899999999994</v>
      </c>
    </row>
    <row r="169" spans="1:8" ht="31.5">
      <c r="A169" s="177" t="s">
        <v>19</v>
      </c>
      <c r="B169" s="177" t="s">
        <v>6</v>
      </c>
      <c r="C169" s="177" t="s">
        <v>336</v>
      </c>
      <c r="D169" s="177" t="s">
        <v>69</v>
      </c>
      <c r="E169" s="178" t="s">
        <v>95</v>
      </c>
      <c r="F169" s="14">
        <f t="shared" si="41"/>
        <v>61803.799999999996</v>
      </c>
      <c r="G169" s="14">
        <f t="shared" si="41"/>
        <v>64275.9</v>
      </c>
      <c r="H169" s="14">
        <f t="shared" si="41"/>
        <v>66846.899999999994</v>
      </c>
    </row>
    <row r="170" spans="1:8" ht="31.5">
      <c r="A170" s="177" t="s">
        <v>19</v>
      </c>
      <c r="B170" s="177" t="s">
        <v>6</v>
      </c>
      <c r="C170" s="177" t="s">
        <v>336</v>
      </c>
      <c r="D170" s="177">
        <v>240</v>
      </c>
      <c r="E170" s="178" t="s">
        <v>216</v>
      </c>
      <c r="F170" s="14">
        <f>55318.2+6146.5+305.2+33.9</f>
        <v>61803.799999999996</v>
      </c>
      <c r="G170" s="14">
        <f>57530.9+6392.2+317.4+35.4</f>
        <v>64275.9</v>
      </c>
      <c r="H170" s="14">
        <f>59832.2+6648+330+36.7</f>
        <v>66846.899999999994</v>
      </c>
    </row>
    <row r="171" spans="1:8" ht="31.5">
      <c r="A171" s="177" t="s">
        <v>19</v>
      </c>
      <c r="B171" s="177" t="s">
        <v>6</v>
      </c>
      <c r="C171" s="177" t="s">
        <v>335</v>
      </c>
      <c r="D171" s="177"/>
      <c r="E171" s="178" t="s">
        <v>386</v>
      </c>
      <c r="F171" s="14">
        <f t="shared" ref="F171:H172" si="42">F172</f>
        <v>4095.2999999999993</v>
      </c>
      <c r="G171" s="14">
        <f t="shared" si="42"/>
        <v>0</v>
      </c>
      <c r="H171" s="14">
        <f t="shared" si="42"/>
        <v>0</v>
      </c>
    </row>
    <row r="172" spans="1:8" ht="31.5">
      <c r="A172" s="177" t="s">
        <v>19</v>
      </c>
      <c r="B172" s="177" t="s">
        <v>6</v>
      </c>
      <c r="C172" s="177" t="s">
        <v>335</v>
      </c>
      <c r="D172" s="177" t="s">
        <v>69</v>
      </c>
      <c r="E172" s="178" t="s">
        <v>95</v>
      </c>
      <c r="F172" s="14">
        <f t="shared" si="42"/>
        <v>4095.2999999999993</v>
      </c>
      <c r="G172" s="14">
        <f t="shared" si="42"/>
        <v>0</v>
      </c>
      <c r="H172" s="14">
        <f t="shared" si="42"/>
        <v>0</v>
      </c>
    </row>
    <row r="173" spans="1:8" ht="31.5">
      <c r="A173" s="177" t="s">
        <v>19</v>
      </c>
      <c r="B173" s="177" t="s">
        <v>6</v>
      </c>
      <c r="C173" s="177" t="s">
        <v>335</v>
      </c>
      <c r="D173" s="177">
        <v>240</v>
      </c>
      <c r="E173" s="178" t="s">
        <v>216</v>
      </c>
      <c r="F173" s="14">
        <f>14692.9-7233.1-5.2-5110.8-225+1976.5</f>
        <v>4095.2999999999993</v>
      </c>
      <c r="G173" s="14">
        <v>0</v>
      </c>
      <c r="H173" s="14">
        <v>0</v>
      </c>
    </row>
    <row r="174" spans="1:8" ht="47.25">
      <c r="A174" s="177" t="s">
        <v>19</v>
      </c>
      <c r="B174" s="177" t="s">
        <v>6</v>
      </c>
      <c r="C174" s="177">
        <v>3410300000</v>
      </c>
      <c r="D174" s="177"/>
      <c r="E174" s="178" t="s">
        <v>223</v>
      </c>
      <c r="F174" s="14">
        <f>+F178+F181+F175</f>
        <v>37139.300000000003</v>
      </c>
      <c r="G174" s="14">
        <f>+G178+G181+G175</f>
        <v>17426.2</v>
      </c>
      <c r="H174" s="14">
        <f>+H178+H181+H175</f>
        <v>18123.3</v>
      </c>
    </row>
    <row r="175" spans="1:8">
      <c r="A175" s="177" t="s">
        <v>19</v>
      </c>
      <c r="B175" s="177" t="s">
        <v>6</v>
      </c>
      <c r="C175" s="177" t="s">
        <v>439</v>
      </c>
      <c r="D175" s="177"/>
      <c r="E175" s="30" t="s">
        <v>222</v>
      </c>
      <c r="F175" s="14">
        <f>F176</f>
        <v>75.5</v>
      </c>
      <c r="G175" s="14">
        <f t="shared" ref="G175:H176" si="43">G176</f>
        <v>0</v>
      </c>
      <c r="H175" s="14">
        <f t="shared" si="43"/>
        <v>0</v>
      </c>
    </row>
    <row r="176" spans="1:8" ht="31.5">
      <c r="A176" s="177" t="s">
        <v>19</v>
      </c>
      <c r="B176" s="177" t="s">
        <v>6</v>
      </c>
      <c r="C176" s="177" t="s">
        <v>439</v>
      </c>
      <c r="D176" s="177" t="s">
        <v>69</v>
      </c>
      <c r="E176" s="30" t="s">
        <v>95</v>
      </c>
      <c r="F176" s="14">
        <f>F177</f>
        <v>75.5</v>
      </c>
      <c r="G176" s="14">
        <f t="shared" si="43"/>
        <v>0</v>
      </c>
      <c r="H176" s="14">
        <f t="shared" si="43"/>
        <v>0</v>
      </c>
    </row>
    <row r="177" spans="1:8" ht="31.5">
      <c r="A177" s="177" t="s">
        <v>19</v>
      </c>
      <c r="B177" s="177" t="s">
        <v>6</v>
      </c>
      <c r="C177" s="177" t="s">
        <v>439</v>
      </c>
      <c r="D177" s="177">
        <v>240</v>
      </c>
      <c r="E177" s="30" t="s">
        <v>216</v>
      </c>
      <c r="F177" s="14">
        <v>75.5</v>
      </c>
      <c r="G177" s="14">
        <v>0</v>
      </c>
      <c r="H177" s="14">
        <v>0</v>
      </c>
    </row>
    <row r="178" spans="1:8" ht="31.5">
      <c r="A178" s="177" t="s">
        <v>19</v>
      </c>
      <c r="B178" s="177" t="s">
        <v>6</v>
      </c>
      <c r="C178" s="177" t="s">
        <v>338</v>
      </c>
      <c r="D178" s="177"/>
      <c r="E178" s="178" t="s">
        <v>307</v>
      </c>
      <c r="F178" s="14">
        <f>F179</f>
        <v>36705.200000000004</v>
      </c>
      <c r="G178" s="14">
        <f t="shared" ref="G178:H179" si="44">G179</f>
        <v>17426.2</v>
      </c>
      <c r="H178" s="14">
        <f t="shared" si="44"/>
        <v>18123.3</v>
      </c>
    </row>
    <row r="179" spans="1:8" ht="31.5">
      <c r="A179" s="177" t="s">
        <v>19</v>
      </c>
      <c r="B179" s="177" t="s">
        <v>6</v>
      </c>
      <c r="C179" s="177" t="s">
        <v>338</v>
      </c>
      <c r="D179" s="177" t="s">
        <v>69</v>
      </c>
      <c r="E179" s="178" t="s">
        <v>95</v>
      </c>
      <c r="F179" s="14">
        <f>F180</f>
        <v>36705.200000000004</v>
      </c>
      <c r="G179" s="14">
        <f t="shared" si="44"/>
        <v>17426.2</v>
      </c>
      <c r="H179" s="14">
        <f t="shared" si="44"/>
        <v>18123.3</v>
      </c>
    </row>
    <row r="180" spans="1:8" ht="31.5">
      <c r="A180" s="177" t="s">
        <v>19</v>
      </c>
      <c r="B180" s="177" t="s">
        <v>6</v>
      </c>
      <c r="C180" s="177" t="s">
        <v>338</v>
      </c>
      <c r="D180" s="177">
        <v>240</v>
      </c>
      <c r="E180" s="178" t="s">
        <v>216</v>
      </c>
      <c r="F180" s="14">
        <f>15080.4+1675.6+17954.3+1994.9</f>
        <v>36705.200000000004</v>
      </c>
      <c r="G180" s="14">
        <f>15683.6+1742.6</f>
        <v>17426.2</v>
      </c>
      <c r="H180" s="14">
        <f>16311+1812.3</f>
        <v>18123.3</v>
      </c>
    </row>
    <row r="181" spans="1:8" ht="47.25">
      <c r="A181" s="177" t="s">
        <v>19</v>
      </c>
      <c r="B181" s="177" t="s">
        <v>6</v>
      </c>
      <c r="C181" s="177" t="s">
        <v>337</v>
      </c>
      <c r="D181" s="177"/>
      <c r="E181" s="178" t="s">
        <v>387</v>
      </c>
      <c r="F181" s="14">
        <f t="shared" ref="F181:H182" si="45">F182</f>
        <v>358.6</v>
      </c>
      <c r="G181" s="14">
        <f t="shared" si="45"/>
        <v>0</v>
      </c>
      <c r="H181" s="14">
        <f t="shared" si="45"/>
        <v>0</v>
      </c>
    </row>
    <row r="182" spans="1:8" ht="31.5">
      <c r="A182" s="177" t="s">
        <v>19</v>
      </c>
      <c r="B182" s="177" t="s">
        <v>6</v>
      </c>
      <c r="C182" s="177" t="s">
        <v>337</v>
      </c>
      <c r="D182" s="177" t="s">
        <v>69</v>
      </c>
      <c r="E182" s="30" t="s">
        <v>95</v>
      </c>
      <c r="F182" s="14">
        <f t="shared" si="45"/>
        <v>358.6</v>
      </c>
      <c r="G182" s="14">
        <f t="shared" si="45"/>
        <v>0</v>
      </c>
      <c r="H182" s="14">
        <f t="shared" si="45"/>
        <v>0</v>
      </c>
    </row>
    <row r="183" spans="1:8" ht="31.5">
      <c r="A183" s="177" t="s">
        <v>19</v>
      </c>
      <c r="B183" s="177" t="s">
        <v>6</v>
      </c>
      <c r="C183" s="177" t="s">
        <v>337</v>
      </c>
      <c r="D183" s="177">
        <v>240</v>
      </c>
      <c r="E183" s="30" t="s">
        <v>216</v>
      </c>
      <c r="F183" s="14">
        <v>358.6</v>
      </c>
      <c r="G183" s="14">
        <v>0</v>
      </c>
      <c r="H183" s="14">
        <v>0</v>
      </c>
    </row>
    <row r="184" spans="1:8">
      <c r="A184" s="177" t="s">
        <v>19</v>
      </c>
      <c r="B184" s="177" t="s">
        <v>6</v>
      </c>
      <c r="C184" s="177">
        <v>3420000000</v>
      </c>
      <c r="D184" s="177"/>
      <c r="E184" s="178" t="s">
        <v>126</v>
      </c>
      <c r="F184" s="14">
        <f>F185+F189</f>
        <v>7646.8000000000011</v>
      </c>
      <c r="G184" s="14">
        <f t="shared" ref="G184:H184" si="46">G185+G189</f>
        <v>3542.1000000000004</v>
      </c>
      <c r="H184" s="14">
        <f t="shared" si="46"/>
        <v>3683.8</v>
      </c>
    </row>
    <row r="185" spans="1:8" ht="31.5">
      <c r="A185" s="177" t="s">
        <v>19</v>
      </c>
      <c r="B185" s="177" t="s">
        <v>6</v>
      </c>
      <c r="C185" s="177">
        <v>3420100000</v>
      </c>
      <c r="D185" s="177"/>
      <c r="E185" s="178" t="s">
        <v>175</v>
      </c>
      <c r="F185" s="14">
        <f>F186</f>
        <v>1967.1</v>
      </c>
      <c r="G185" s="14">
        <f t="shared" ref="G185:H185" si="47">G186</f>
        <v>0</v>
      </c>
      <c r="H185" s="14">
        <f t="shared" si="47"/>
        <v>0</v>
      </c>
    </row>
    <row r="186" spans="1:8">
      <c r="A186" s="177" t="s">
        <v>19</v>
      </c>
      <c r="B186" s="177" t="s">
        <v>6</v>
      </c>
      <c r="C186" s="177" t="s">
        <v>339</v>
      </c>
      <c r="D186" s="177"/>
      <c r="E186" s="178" t="s">
        <v>127</v>
      </c>
      <c r="F186" s="14">
        <f t="shared" ref="F186:H187" si="48">F187</f>
        <v>1967.1</v>
      </c>
      <c r="G186" s="14">
        <f t="shared" si="48"/>
        <v>0</v>
      </c>
      <c r="H186" s="14">
        <f t="shared" si="48"/>
        <v>0</v>
      </c>
    </row>
    <row r="187" spans="1:8" ht="31.5">
      <c r="A187" s="177" t="s">
        <v>19</v>
      </c>
      <c r="B187" s="177" t="s">
        <v>6</v>
      </c>
      <c r="C187" s="177" t="s">
        <v>339</v>
      </c>
      <c r="D187" s="177" t="s">
        <v>69</v>
      </c>
      <c r="E187" s="178" t="s">
        <v>95</v>
      </c>
      <c r="F187" s="14">
        <f t="shared" si="48"/>
        <v>1967.1</v>
      </c>
      <c r="G187" s="14">
        <f t="shared" si="48"/>
        <v>0</v>
      </c>
      <c r="H187" s="14">
        <f t="shared" si="48"/>
        <v>0</v>
      </c>
    </row>
    <row r="188" spans="1:8" ht="31.5">
      <c r="A188" s="177" t="s">
        <v>19</v>
      </c>
      <c r="B188" s="177" t="s">
        <v>6</v>
      </c>
      <c r="C188" s="177" t="s">
        <v>339</v>
      </c>
      <c r="D188" s="177">
        <v>240</v>
      </c>
      <c r="E188" s="178" t="s">
        <v>216</v>
      </c>
      <c r="F188" s="14">
        <f>2513.2-546.1</f>
        <v>1967.1</v>
      </c>
      <c r="G188" s="14">
        <v>0</v>
      </c>
      <c r="H188" s="14">
        <v>0</v>
      </c>
    </row>
    <row r="189" spans="1:8" ht="47.25">
      <c r="A189" s="177" t="s">
        <v>19</v>
      </c>
      <c r="B189" s="177" t="s">
        <v>6</v>
      </c>
      <c r="C189" s="177">
        <v>3420300000</v>
      </c>
      <c r="D189" s="177"/>
      <c r="E189" s="178" t="s">
        <v>311</v>
      </c>
      <c r="F189" s="14">
        <f>F190+F196+F193</f>
        <v>5679.7000000000007</v>
      </c>
      <c r="G189" s="14">
        <f t="shared" ref="G189:H189" si="49">G190+G196+G193</f>
        <v>3542.1000000000004</v>
      </c>
      <c r="H189" s="14">
        <f t="shared" si="49"/>
        <v>3683.8</v>
      </c>
    </row>
    <row r="190" spans="1:8">
      <c r="A190" s="177" t="s">
        <v>19</v>
      </c>
      <c r="B190" s="177" t="s">
        <v>6</v>
      </c>
      <c r="C190" s="177" t="s">
        <v>389</v>
      </c>
      <c r="D190" s="177"/>
      <c r="E190" s="30" t="s">
        <v>222</v>
      </c>
      <c r="F190" s="14">
        <f>F191</f>
        <v>338.6</v>
      </c>
      <c r="G190" s="14">
        <f t="shared" ref="G190:H191" si="50">G191</f>
        <v>0</v>
      </c>
      <c r="H190" s="14">
        <f t="shared" si="50"/>
        <v>0</v>
      </c>
    </row>
    <row r="191" spans="1:8" ht="31.5">
      <c r="A191" s="177" t="s">
        <v>19</v>
      </c>
      <c r="B191" s="177" t="s">
        <v>6</v>
      </c>
      <c r="C191" s="177" t="s">
        <v>389</v>
      </c>
      <c r="D191" s="177" t="s">
        <v>69</v>
      </c>
      <c r="E191" s="178" t="s">
        <v>95</v>
      </c>
      <c r="F191" s="14">
        <f>F192</f>
        <v>338.6</v>
      </c>
      <c r="G191" s="14">
        <f t="shared" si="50"/>
        <v>0</v>
      </c>
      <c r="H191" s="14">
        <f t="shared" si="50"/>
        <v>0</v>
      </c>
    </row>
    <row r="192" spans="1:8" ht="31.5">
      <c r="A192" s="177" t="s">
        <v>19</v>
      </c>
      <c r="B192" s="177" t="s">
        <v>6</v>
      </c>
      <c r="C192" s="177" t="s">
        <v>389</v>
      </c>
      <c r="D192" s="177">
        <v>240</v>
      </c>
      <c r="E192" s="178" t="s">
        <v>216</v>
      </c>
      <c r="F192" s="14">
        <v>338.6</v>
      </c>
      <c r="G192" s="14">
        <v>0</v>
      </c>
      <c r="H192" s="14">
        <v>0</v>
      </c>
    </row>
    <row r="193" spans="1:8" ht="47.25">
      <c r="A193" s="177" t="s">
        <v>19</v>
      </c>
      <c r="B193" s="177" t="s">
        <v>6</v>
      </c>
      <c r="C193" s="177" t="s">
        <v>390</v>
      </c>
      <c r="D193" s="177"/>
      <c r="E193" s="178" t="s">
        <v>305</v>
      </c>
      <c r="F193" s="14">
        <f>F194</f>
        <v>3405.9</v>
      </c>
      <c r="G193" s="14">
        <f t="shared" ref="G193:H194" si="51">G194</f>
        <v>3542.1000000000004</v>
      </c>
      <c r="H193" s="14">
        <f t="shared" si="51"/>
        <v>3683.8</v>
      </c>
    </row>
    <row r="194" spans="1:8" ht="31.5">
      <c r="A194" s="177" t="s">
        <v>19</v>
      </c>
      <c r="B194" s="177" t="s">
        <v>6</v>
      </c>
      <c r="C194" s="177" t="s">
        <v>390</v>
      </c>
      <c r="D194" s="177" t="s">
        <v>69</v>
      </c>
      <c r="E194" s="178" t="s">
        <v>95</v>
      </c>
      <c r="F194" s="14">
        <f>F195</f>
        <v>3405.9</v>
      </c>
      <c r="G194" s="14">
        <f t="shared" si="51"/>
        <v>3542.1000000000004</v>
      </c>
      <c r="H194" s="14">
        <f t="shared" si="51"/>
        <v>3683.8</v>
      </c>
    </row>
    <row r="195" spans="1:8" ht="31.5">
      <c r="A195" s="177" t="s">
        <v>19</v>
      </c>
      <c r="B195" s="177" t="s">
        <v>6</v>
      </c>
      <c r="C195" s="177" t="s">
        <v>390</v>
      </c>
      <c r="D195" s="177">
        <v>240</v>
      </c>
      <c r="E195" s="178" t="s">
        <v>216</v>
      </c>
      <c r="F195" s="14">
        <f>3047.4+340.2+17.9+0.4</f>
        <v>3405.9</v>
      </c>
      <c r="G195" s="14">
        <f>3169.3+353.8+18.6+0.4</f>
        <v>3542.1000000000004</v>
      </c>
      <c r="H195" s="14">
        <f>3296.1+353.8+19.3+14.6</f>
        <v>3683.8</v>
      </c>
    </row>
    <row r="196" spans="1:8" ht="63">
      <c r="A196" s="177" t="s">
        <v>19</v>
      </c>
      <c r="B196" s="177" t="s">
        <v>6</v>
      </c>
      <c r="C196" s="177" t="s">
        <v>391</v>
      </c>
      <c r="D196" s="177"/>
      <c r="E196" s="30" t="s">
        <v>388</v>
      </c>
      <c r="F196" s="14">
        <f>F197</f>
        <v>1935.2</v>
      </c>
      <c r="G196" s="14">
        <f t="shared" ref="G196:H197" si="52">G197</f>
        <v>0</v>
      </c>
      <c r="H196" s="14">
        <f t="shared" si="52"/>
        <v>0</v>
      </c>
    </row>
    <row r="197" spans="1:8" ht="31.5">
      <c r="A197" s="177" t="s">
        <v>19</v>
      </c>
      <c r="B197" s="177" t="s">
        <v>6</v>
      </c>
      <c r="C197" s="177" t="s">
        <v>391</v>
      </c>
      <c r="D197" s="177" t="s">
        <v>69</v>
      </c>
      <c r="E197" s="178" t="s">
        <v>95</v>
      </c>
      <c r="F197" s="14">
        <f>F198</f>
        <v>1935.2</v>
      </c>
      <c r="G197" s="14">
        <f t="shared" si="52"/>
        <v>0</v>
      </c>
      <c r="H197" s="14">
        <f t="shared" si="52"/>
        <v>0</v>
      </c>
    </row>
    <row r="198" spans="1:8" ht="31.5">
      <c r="A198" s="177" t="s">
        <v>19</v>
      </c>
      <c r="B198" s="177" t="s">
        <v>6</v>
      </c>
      <c r="C198" s="177" t="s">
        <v>391</v>
      </c>
      <c r="D198" s="177">
        <v>240</v>
      </c>
      <c r="E198" s="178" t="s">
        <v>216</v>
      </c>
      <c r="F198" s="14">
        <f>1536+399.2</f>
        <v>1935.2</v>
      </c>
      <c r="G198" s="14">
        <v>0</v>
      </c>
      <c r="H198" s="14">
        <v>0</v>
      </c>
    </row>
    <row r="199" spans="1:8">
      <c r="A199" s="177" t="s">
        <v>19</v>
      </c>
      <c r="B199" s="177" t="s">
        <v>6</v>
      </c>
      <c r="C199" s="177">
        <v>9900000000</v>
      </c>
      <c r="D199" s="177"/>
      <c r="E199" s="178" t="s">
        <v>105</v>
      </c>
      <c r="F199" s="14">
        <f>F200</f>
        <v>150</v>
      </c>
      <c r="G199" s="14">
        <f t="shared" ref="G199:H202" si="53">G200</f>
        <v>0</v>
      </c>
      <c r="H199" s="14">
        <f t="shared" si="53"/>
        <v>0</v>
      </c>
    </row>
    <row r="200" spans="1:8" ht="31.5">
      <c r="A200" s="177" t="s">
        <v>19</v>
      </c>
      <c r="B200" s="177" t="s">
        <v>6</v>
      </c>
      <c r="C200" s="177">
        <v>9930000000</v>
      </c>
      <c r="D200" s="177"/>
      <c r="E200" s="178" t="s">
        <v>154</v>
      </c>
      <c r="F200" s="14">
        <f>F201</f>
        <v>150</v>
      </c>
      <c r="G200" s="14">
        <f t="shared" si="53"/>
        <v>0</v>
      </c>
      <c r="H200" s="14">
        <f t="shared" si="53"/>
        <v>0</v>
      </c>
    </row>
    <row r="201" spans="1:8" ht="31.5">
      <c r="A201" s="177" t="s">
        <v>19</v>
      </c>
      <c r="B201" s="177" t="s">
        <v>6</v>
      </c>
      <c r="C201" s="177">
        <v>9930020490</v>
      </c>
      <c r="D201" s="177"/>
      <c r="E201" s="30" t="s">
        <v>438</v>
      </c>
      <c r="F201" s="14">
        <f>F202</f>
        <v>150</v>
      </c>
      <c r="G201" s="14">
        <f t="shared" si="53"/>
        <v>0</v>
      </c>
      <c r="H201" s="14">
        <f t="shared" si="53"/>
        <v>0</v>
      </c>
    </row>
    <row r="202" spans="1:8">
      <c r="A202" s="177" t="s">
        <v>19</v>
      </c>
      <c r="B202" s="177" t="s">
        <v>6</v>
      </c>
      <c r="C202" s="177">
        <v>9930020490</v>
      </c>
      <c r="D202" s="8" t="s">
        <v>70</v>
      </c>
      <c r="E202" s="22" t="s">
        <v>71</v>
      </c>
      <c r="F202" s="14">
        <f>F203</f>
        <v>150</v>
      </c>
      <c r="G202" s="14">
        <f t="shared" si="53"/>
        <v>0</v>
      </c>
      <c r="H202" s="14">
        <f t="shared" si="53"/>
        <v>0</v>
      </c>
    </row>
    <row r="203" spans="1:8">
      <c r="A203" s="177" t="s">
        <v>19</v>
      </c>
      <c r="B203" s="177" t="s">
        <v>6</v>
      </c>
      <c r="C203" s="177">
        <v>9930020490</v>
      </c>
      <c r="D203" s="177">
        <v>850</v>
      </c>
      <c r="E203" s="178" t="s">
        <v>100</v>
      </c>
      <c r="F203" s="14">
        <f>100+50</f>
        <v>150</v>
      </c>
      <c r="G203" s="14">
        <v>0</v>
      </c>
      <c r="H203" s="14">
        <v>0</v>
      </c>
    </row>
    <row r="204" spans="1:8">
      <c r="A204" s="177" t="s">
        <v>19</v>
      </c>
      <c r="B204" s="177" t="s">
        <v>48</v>
      </c>
      <c r="C204" s="177" t="s">
        <v>66</v>
      </c>
      <c r="D204" s="177" t="s">
        <v>66</v>
      </c>
      <c r="E204" s="178" t="s">
        <v>26</v>
      </c>
      <c r="F204" s="14">
        <f t="shared" ref="F204:F209" si="54">F205</f>
        <v>33</v>
      </c>
      <c r="G204" s="14">
        <f t="shared" ref="G204:H209" si="55">G205</f>
        <v>0</v>
      </c>
      <c r="H204" s="14">
        <f t="shared" si="55"/>
        <v>0</v>
      </c>
    </row>
    <row r="205" spans="1:8" ht="47.25">
      <c r="A205" s="177" t="s">
        <v>19</v>
      </c>
      <c r="B205" s="177" t="s">
        <v>48</v>
      </c>
      <c r="C205" s="177">
        <v>3600000000</v>
      </c>
      <c r="D205" s="177"/>
      <c r="E205" s="178" t="s">
        <v>331</v>
      </c>
      <c r="F205" s="14">
        <f t="shared" si="54"/>
        <v>33</v>
      </c>
      <c r="G205" s="14">
        <f t="shared" si="55"/>
        <v>0</v>
      </c>
      <c r="H205" s="14">
        <f t="shared" si="55"/>
        <v>0</v>
      </c>
    </row>
    <row r="206" spans="1:8" ht="31.5">
      <c r="A206" s="177" t="s">
        <v>19</v>
      </c>
      <c r="B206" s="177" t="s">
        <v>48</v>
      </c>
      <c r="C206" s="177">
        <v>3640000000</v>
      </c>
      <c r="D206" s="177"/>
      <c r="E206" s="178" t="s">
        <v>340</v>
      </c>
      <c r="F206" s="14">
        <f t="shared" si="54"/>
        <v>33</v>
      </c>
      <c r="G206" s="14">
        <f t="shared" si="55"/>
        <v>0</v>
      </c>
      <c r="H206" s="14">
        <f t="shared" si="55"/>
        <v>0</v>
      </c>
    </row>
    <row r="207" spans="1:8" ht="31.5">
      <c r="A207" s="177" t="s">
        <v>19</v>
      </c>
      <c r="B207" s="177" t="s">
        <v>48</v>
      </c>
      <c r="C207" s="177">
        <v>3640100000</v>
      </c>
      <c r="D207" s="177"/>
      <c r="E207" s="178" t="s">
        <v>276</v>
      </c>
      <c r="F207" s="14">
        <f t="shared" si="54"/>
        <v>33</v>
      </c>
      <c r="G207" s="14">
        <f t="shared" si="55"/>
        <v>0</v>
      </c>
      <c r="H207" s="14">
        <f t="shared" si="55"/>
        <v>0</v>
      </c>
    </row>
    <row r="208" spans="1:8" ht="31.5">
      <c r="A208" s="177" t="s">
        <v>19</v>
      </c>
      <c r="B208" s="177" t="s">
        <v>48</v>
      </c>
      <c r="C208" s="177">
        <v>3640120210</v>
      </c>
      <c r="D208" s="177"/>
      <c r="E208" s="178" t="s">
        <v>277</v>
      </c>
      <c r="F208" s="14">
        <f t="shared" si="54"/>
        <v>33</v>
      </c>
      <c r="G208" s="14">
        <f t="shared" si="55"/>
        <v>0</v>
      </c>
      <c r="H208" s="14">
        <f t="shared" si="55"/>
        <v>0</v>
      </c>
    </row>
    <row r="209" spans="1:8" ht="31.5">
      <c r="A209" s="177" t="s">
        <v>19</v>
      </c>
      <c r="B209" s="177" t="s">
        <v>48</v>
      </c>
      <c r="C209" s="177">
        <v>3640120210</v>
      </c>
      <c r="D209" s="177" t="s">
        <v>69</v>
      </c>
      <c r="E209" s="178" t="s">
        <v>95</v>
      </c>
      <c r="F209" s="14">
        <f t="shared" si="54"/>
        <v>33</v>
      </c>
      <c r="G209" s="14">
        <f t="shared" si="55"/>
        <v>0</v>
      </c>
      <c r="H209" s="14">
        <f t="shared" si="55"/>
        <v>0</v>
      </c>
    </row>
    <row r="210" spans="1:8" ht="31.5">
      <c r="A210" s="177" t="s">
        <v>19</v>
      </c>
      <c r="B210" s="177" t="s">
        <v>48</v>
      </c>
      <c r="C210" s="177">
        <v>3640120210</v>
      </c>
      <c r="D210" s="177">
        <v>240</v>
      </c>
      <c r="E210" s="178" t="s">
        <v>216</v>
      </c>
      <c r="F210" s="14">
        <v>33</v>
      </c>
      <c r="G210" s="14">
        <v>0</v>
      </c>
      <c r="H210" s="14">
        <v>0</v>
      </c>
    </row>
    <row r="211" spans="1:8">
      <c r="A211" s="177" t="s">
        <v>19</v>
      </c>
      <c r="B211" s="177" t="s">
        <v>57</v>
      </c>
      <c r="C211" s="177" t="s">
        <v>66</v>
      </c>
      <c r="D211" s="177" t="s">
        <v>66</v>
      </c>
      <c r="E211" s="22" t="s">
        <v>27</v>
      </c>
      <c r="F211" s="14">
        <f>F212+F234+F320</f>
        <v>118215.20000000001</v>
      </c>
      <c r="G211" s="14">
        <f>G212+G234+G320</f>
        <v>58635.6</v>
      </c>
      <c r="H211" s="14">
        <f>H212+H234+H320</f>
        <v>48140.299999999996</v>
      </c>
    </row>
    <row r="212" spans="1:8">
      <c r="A212" s="177" t="s">
        <v>19</v>
      </c>
      <c r="B212" s="58" t="s">
        <v>225</v>
      </c>
      <c r="C212" s="177"/>
      <c r="D212" s="177"/>
      <c r="E212" s="180" t="s">
        <v>226</v>
      </c>
      <c r="F212" s="14">
        <f>F213+F225</f>
        <v>14889.4</v>
      </c>
      <c r="G212" s="14">
        <f>G213+G225</f>
        <v>6500</v>
      </c>
      <c r="H212" s="14">
        <f>H213+H225</f>
        <v>0</v>
      </c>
    </row>
    <row r="213" spans="1:8" ht="47.25">
      <c r="A213" s="177" t="s">
        <v>19</v>
      </c>
      <c r="B213" s="58" t="s">
        <v>225</v>
      </c>
      <c r="C213" s="177">
        <v>3400000000</v>
      </c>
      <c r="D213" s="177"/>
      <c r="E213" s="30" t="s">
        <v>332</v>
      </c>
      <c r="F213" s="14">
        <f t="shared" ref="F213:H213" si="56">F214</f>
        <v>3732.6000000000004</v>
      </c>
      <c r="G213" s="14">
        <f t="shared" si="56"/>
        <v>6500</v>
      </c>
      <c r="H213" s="14">
        <f t="shared" si="56"/>
        <v>0</v>
      </c>
    </row>
    <row r="214" spans="1:8" ht="31.5">
      <c r="A214" s="177" t="s">
        <v>19</v>
      </c>
      <c r="B214" s="58" t="s">
        <v>225</v>
      </c>
      <c r="C214" s="177">
        <v>3430000000</v>
      </c>
      <c r="D214" s="177"/>
      <c r="E214" s="5" t="s">
        <v>266</v>
      </c>
      <c r="F214" s="14">
        <f>F221+F215</f>
        <v>3732.6000000000004</v>
      </c>
      <c r="G214" s="14">
        <f t="shared" ref="G214:H214" si="57">G221+G215</f>
        <v>6500</v>
      </c>
      <c r="H214" s="14">
        <f t="shared" si="57"/>
        <v>0</v>
      </c>
    </row>
    <row r="215" spans="1:8" ht="31.5">
      <c r="A215" s="177" t="s">
        <v>19</v>
      </c>
      <c r="B215" s="58" t="s">
        <v>225</v>
      </c>
      <c r="C215" s="177">
        <v>3430100000</v>
      </c>
      <c r="D215" s="177"/>
      <c r="E215" s="33" t="s">
        <v>480</v>
      </c>
      <c r="F215" s="14">
        <f>F216</f>
        <v>2208.6000000000004</v>
      </c>
      <c r="G215" s="14">
        <f t="shared" ref="G215:H217" si="58">G216</f>
        <v>6500</v>
      </c>
      <c r="H215" s="14">
        <f t="shared" si="58"/>
        <v>0</v>
      </c>
    </row>
    <row r="216" spans="1:8">
      <c r="A216" s="177" t="s">
        <v>19</v>
      </c>
      <c r="B216" s="58" t="s">
        <v>225</v>
      </c>
      <c r="C216" s="177">
        <v>3430120110</v>
      </c>
      <c r="D216" s="177"/>
      <c r="E216" s="5" t="s">
        <v>481</v>
      </c>
      <c r="F216" s="14">
        <f>F217+F219</f>
        <v>2208.6000000000004</v>
      </c>
      <c r="G216" s="14">
        <f t="shared" ref="G216:H216" si="59">G217+G219</f>
        <v>6500</v>
      </c>
      <c r="H216" s="14">
        <f t="shared" si="59"/>
        <v>0</v>
      </c>
    </row>
    <row r="217" spans="1:8" ht="31.5">
      <c r="A217" s="177" t="s">
        <v>19</v>
      </c>
      <c r="B217" s="58" t="s">
        <v>225</v>
      </c>
      <c r="C217" s="177">
        <v>3430120110</v>
      </c>
      <c r="D217" s="177" t="s">
        <v>69</v>
      </c>
      <c r="E217" s="178" t="s">
        <v>95</v>
      </c>
      <c r="F217" s="14">
        <f>F218</f>
        <v>813.3</v>
      </c>
      <c r="G217" s="14">
        <f t="shared" si="58"/>
        <v>0</v>
      </c>
      <c r="H217" s="14">
        <f t="shared" si="58"/>
        <v>0</v>
      </c>
    </row>
    <row r="218" spans="1:8" ht="31.5">
      <c r="A218" s="177" t="s">
        <v>19</v>
      </c>
      <c r="B218" s="58" t="s">
        <v>225</v>
      </c>
      <c r="C218" s="177">
        <v>3430120110</v>
      </c>
      <c r="D218" s="177">
        <v>240</v>
      </c>
      <c r="E218" s="178" t="s">
        <v>216</v>
      </c>
      <c r="F218" s="14">
        <f>633.3+180</f>
        <v>813.3</v>
      </c>
      <c r="G218" s="14">
        <v>0</v>
      </c>
      <c r="H218" s="14">
        <v>0</v>
      </c>
    </row>
    <row r="219" spans="1:8" ht="31.5">
      <c r="A219" s="177" t="s">
        <v>19</v>
      </c>
      <c r="B219" s="58" t="s">
        <v>225</v>
      </c>
      <c r="C219" s="177">
        <v>3430120110</v>
      </c>
      <c r="D219" s="177" t="s">
        <v>72</v>
      </c>
      <c r="E219" s="30" t="s">
        <v>96</v>
      </c>
      <c r="F219" s="14">
        <f>F220</f>
        <v>1395.3000000000002</v>
      </c>
      <c r="G219" s="14">
        <f t="shared" ref="G219:H219" si="60">G220</f>
        <v>6500</v>
      </c>
      <c r="H219" s="14">
        <f t="shared" si="60"/>
        <v>0</v>
      </c>
    </row>
    <row r="220" spans="1:8">
      <c r="A220" s="177" t="s">
        <v>19</v>
      </c>
      <c r="B220" s="58" t="s">
        <v>225</v>
      </c>
      <c r="C220" s="177">
        <v>3430120110</v>
      </c>
      <c r="D220" s="177" t="s">
        <v>119</v>
      </c>
      <c r="E220" s="30" t="s">
        <v>120</v>
      </c>
      <c r="F220" s="14">
        <f>914.2+481.1</f>
        <v>1395.3000000000002</v>
      </c>
      <c r="G220" s="14">
        <v>6500</v>
      </c>
      <c r="H220" s="14">
        <v>0</v>
      </c>
    </row>
    <row r="221" spans="1:8" ht="31.5">
      <c r="A221" s="177" t="s">
        <v>19</v>
      </c>
      <c r="B221" s="58" t="s">
        <v>225</v>
      </c>
      <c r="C221" s="177">
        <v>3430200000</v>
      </c>
      <c r="D221" s="177"/>
      <c r="E221" s="30" t="s">
        <v>405</v>
      </c>
      <c r="F221" s="14">
        <f>F222</f>
        <v>1524</v>
      </c>
      <c r="G221" s="14">
        <f t="shared" ref="G221:H223" si="61">G222</f>
        <v>0</v>
      </c>
      <c r="H221" s="14">
        <f t="shared" si="61"/>
        <v>0</v>
      </c>
    </row>
    <row r="222" spans="1:8" ht="31.5">
      <c r="A222" s="177" t="s">
        <v>19</v>
      </c>
      <c r="B222" s="58" t="s">
        <v>225</v>
      </c>
      <c r="C222" s="177">
        <v>3430220110</v>
      </c>
      <c r="D222" s="177"/>
      <c r="E222" s="30" t="s">
        <v>399</v>
      </c>
      <c r="F222" s="14">
        <f>F223</f>
        <v>1524</v>
      </c>
      <c r="G222" s="14">
        <f t="shared" si="61"/>
        <v>0</v>
      </c>
      <c r="H222" s="14">
        <f t="shared" si="61"/>
        <v>0</v>
      </c>
    </row>
    <row r="223" spans="1:8" ht="31.5">
      <c r="A223" s="177" t="s">
        <v>19</v>
      </c>
      <c r="B223" s="58" t="s">
        <v>225</v>
      </c>
      <c r="C223" s="177">
        <v>3430220110</v>
      </c>
      <c r="D223" s="177" t="s">
        <v>69</v>
      </c>
      <c r="E223" s="178" t="s">
        <v>95</v>
      </c>
      <c r="F223" s="14">
        <f>F224</f>
        <v>1524</v>
      </c>
      <c r="G223" s="14">
        <f t="shared" si="61"/>
        <v>0</v>
      </c>
      <c r="H223" s="14">
        <f t="shared" si="61"/>
        <v>0</v>
      </c>
    </row>
    <row r="224" spans="1:8" ht="31.5">
      <c r="A224" s="177" t="s">
        <v>19</v>
      </c>
      <c r="B224" s="58" t="s">
        <v>225</v>
      </c>
      <c r="C224" s="177">
        <v>3430220110</v>
      </c>
      <c r="D224" s="177">
        <v>240</v>
      </c>
      <c r="E224" s="178" t="s">
        <v>216</v>
      </c>
      <c r="F224" s="14">
        <f>1673-149</f>
        <v>1524</v>
      </c>
      <c r="G224" s="14">
        <v>0</v>
      </c>
      <c r="H224" s="14">
        <v>0</v>
      </c>
    </row>
    <row r="225" spans="1:8">
      <c r="A225" s="177" t="s">
        <v>19</v>
      </c>
      <c r="B225" s="58" t="s">
        <v>225</v>
      </c>
      <c r="C225" s="177">
        <v>9900000000</v>
      </c>
      <c r="D225" s="177"/>
      <c r="E225" s="178" t="s">
        <v>105</v>
      </c>
      <c r="F225" s="14">
        <f>F230+F226</f>
        <v>11156.8</v>
      </c>
      <c r="G225" s="14">
        <f t="shared" ref="G225:H225" si="62">G230+G226</f>
        <v>0</v>
      </c>
      <c r="H225" s="14">
        <f t="shared" si="62"/>
        <v>0</v>
      </c>
    </row>
    <row r="226" spans="1:8">
      <c r="A226" s="177" t="s">
        <v>19</v>
      </c>
      <c r="B226" s="58" t="s">
        <v>225</v>
      </c>
      <c r="C226" s="177">
        <v>9910000000</v>
      </c>
      <c r="D226" s="177"/>
      <c r="E226" s="178" t="s">
        <v>8</v>
      </c>
      <c r="F226" s="14">
        <f>F227</f>
        <v>4324.7999999999993</v>
      </c>
      <c r="G226" s="14">
        <f t="shared" ref="G226:H228" si="63">G227</f>
        <v>0</v>
      </c>
      <c r="H226" s="14">
        <f t="shared" si="63"/>
        <v>0</v>
      </c>
    </row>
    <row r="227" spans="1:8">
      <c r="A227" s="177" t="s">
        <v>19</v>
      </c>
      <c r="B227" s="58" t="s">
        <v>225</v>
      </c>
      <c r="C227" s="177">
        <v>9910020000</v>
      </c>
      <c r="D227" s="177"/>
      <c r="E227" s="178" t="s">
        <v>253</v>
      </c>
      <c r="F227" s="14">
        <f>F228</f>
        <v>4324.7999999999993</v>
      </c>
      <c r="G227" s="14">
        <f t="shared" si="63"/>
        <v>0</v>
      </c>
      <c r="H227" s="14">
        <f t="shared" si="63"/>
        <v>0</v>
      </c>
    </row>
    <row r="228" spans="1:8" ht="31.5">
      <c r="A228" s="177" t="s">
        <v>19</v>
      </c>
      <c r="B228" s="58" t="s">
        <v>225</v>
      </c>
      <c r="C228" s="177">
        <v>9910000000</v>
      </c>
      <c r="D228" s="177" t="s">
        <v>69</v>
      </c>
      <c r="E228" s="30" t="s">
        <v>95</v>
      </c>
      <c r="F228" s="14">
        <f>F229</f>
        <v>4324.7999999999993</v>
      </c>
      <c r="G228" s="14">
        <f t="shared" si="63"/>
        <v>0</v>
      </c>
      <c r="H228" s="14">
        <f t="shared" si="63"/>
        <v>0</v>
      </c>
    </row>
    <row r="229" spans="1:8" ht="31.5">
      <c r="A229" s="177" t="s">
        <v>19</v>
      </c>
      <c r="B229" s="58" t="s">
        <v>225</v>
      </c>
      <c r="C229" s="177">
        <v>9910020000</v>
      </c>
      <c r="D229" s="177">
        <v>240</v>
      </c>
      <c r="E229" s="30" t="s">
        <v>216</v>
      </c>
      <c r="F229" s="14">
        <f>170.4+4154.4</f>
        <v>4324.7999999999993</v>
      </c>
      <c r="G229" s="14">
        <v>0</v>
      </c>
      <c r="H229" s="14">
        <v>0</v>
      </c>
    </row>
    <row r="230" spans="1:8" ht="31.5">
      <c r="A230" s="177" t="s">
        <v>19</v>
      </c>
      <c r="B230" s="58" t="s">
        <v>225</v>
      </c>
      <c r="C230" s="177">
        <v>9930000000</v>
      </c>
      <c r="D230" s="177"/>
      <c r="E230" s="178" t="s">
        <v>154</v>
      </c>
      <c r="F230" s="14">
        <f>F231</f>
        <v>6832</v>
      </c>
      <c r="G230" s="14">
        <f t="shared" ref="G230:H232" si="64">G231</f>
        <v>0</v>
      </c>
      <c r="H230" s="14">
        <f t="shared" si="64"/>
        <v>0</v>
      </c>
    </row>
    <row r="231" spans="1:8" ht="63">
      <c r="A231" s="177" t="s">
        <v>19</v>
      </c>
      <c r="B231" s="58" t="s">
        <v>225</v>
      </c>
      <c r="C231" s="177">
        <v>9930020800</v>
      </c>
      <c r="D231" s="177"/>
      <c r="E231" s="30" t="s">
        <v>413</v>
      </c>
      <c r="F231" s="14">
        <f>F232</f>
        <v>6832</v>
      </c>
      <c r="G231" s="14">
        <f t="shared" si="64"/>
        <v>0</v>
      </c>
      <c r="H231" s="14">
        <f t="shared" si="64"/>
        <v>0</v>
      </c>
    </row>
    <row r="232" spans="1:8">
      <c r="A232" s="177" t="s">
        <v>19</v>
      </c>
      <c r="B232" s="58" t="s">
        <v>225</v>
      </c>
      <c r="C232" s="177">
        <v>9930020800</v>
      </c>
      <c r="D232" s="177" t="s">
        <v>70</v>
      </c>
      <c r="E232" s="178" t="s">
        <v>71</v>
      </c>
      <c r="F232" s="14">
        <f>F233</f>
        <v>6832</v>
      </c>
      <c r="G232" s="14">
        <f t="shared" si="64"/>
        <v>0</v>
      </c>
      <c r="H232" s="14">
        <f t="shared" si="64"/>
        <v>0</v>
      </c>
    </row>
    <row r="233" spans="1:8">
      <c r="A233" s="177" t="s">
        <v>19</v>
      </c>
      <c r="B233" s="58" t="s">
        <v>225</v>
      </c>
      <c r="C233" s="177">
        <v>9930020800</v>
      </c>
      <c r="D233" s="177">
        <v>850</v>
      </c>
      <c r="E233" s="178" t="s">
        <v>100</v>
      </c>
      <c r="F233" s="14">
        <v>6832</v>
      </c>
      <c r="G233" s="14">
        <v>0</v>
      </c>
      <c r="H233" s="14">
        <v>0</v>
      </c>
    </row>
    <row r="234" spans="1:8">
      <c r="A234" s="177" t="s">
        <v>19</v>
      </c>
      <c r="B234" s="177" t="s">
        <v>49</v>
      </c>
      <c r="C234" s="177" t="s">
        <v>66</v>
      </c>
      <c r="D234" s="177" t="s">
        <v>66</v>
      </c>
      <c r="E234" s="178" t="s">
        <v>28</v>
      </c>
      <c r="F234" s="14">
        <f>F235</f>
        <v>84703.200000000012</v>
      </c>
      <c r="G234" s="14">
        <f>G235</f>
        <v>41398.6</v>
      </c>
      <c r="H234" s="14">
        <f>H235</f>
        <v>37403.299999999996</v>
      </c>
    </row>
    <row r="235" spans="1:8" ht="47.25">
      <c r="A235" s="177" t="s">
        <v>19</v>
      </c>
      <c r="B235" s="177" t="s">
        <v>49</v>
      </c>
      <c r="C235" s="177">
        <v>3300000000</v>
      </c>
      <c r="D235" s="177"/>
      <c r="E235" s="178" t="s">
        <v>341</v>
      </c>
      <c r="F235" s="14">
        <f>F236+F252+F312</f>
        <v>84703.200000000012</v>
      </c>
      <c r="G235" s="14">
        <f>G236+G252+G312</f>
        <v>41398.6</v>
      </c>
      <c r="H235" s="14">
        <f>H236+H252+H312</f>
        <v>37403.299999999996</v>
      </c>
    </row>
    <row r="236" spans="1:8" ht="47.25">
      <c r="A236" s="177" t="s">
        <v>19</v>
      </c>
      <c r="B236" s="177" t="s">
        <v>49</v>
      </c>
      <c r="C236" s="177">
        <v>3310000000</v>
      </c>
      <c r="D236" s="177"/>
      <c r="E236" s="178" t="s">
        <v>207</v>
      </c>
      <c r="F236" s="14">
        <f>F245+F237+F241</f>
        <v>19361.3</v>
      </c>
      <c r="G236" s="14">
        <f>G245+G237+G241</f>
        <v>152.5</v>
      </c>
      <c r="H236" s="14">
        <f>H245+H237+H241</f>
        <v>0</v>
      </c>
    </row>
    <row r="237" spans="1:8" ht="31.5">
      <c r="A237" s="177" t="s">
        <v>19</v>
      </c>
      <c r="B237" s="177" t="s">
        <v>49</v>
      </c>
      <c r="C237" s="177">
        <v>3310100000</v>
      </c>
      <c r="D237" s="177"/>
      <c r="E237" s="178" t="s">
        <v>309</v>
      </c>
      <c r="F237" s="14">
        <f>F238</f>
        <v>665.3</v>
      </c>
      <c r="G237" s="14">
        <f t="shared" ref="G237:H239" si="65">G238</f>
        <v>0</v>
      </c>
      <c r="H237" s="14">
        <f t="shared" si="65"/>
        <v>0</v>
      </c>
    </row>
    <row r="238" spans="1:8">
      <c r="A238" s="177" t="s">
        <v>19</v>
      </c>
      <c r="B238" s="177" t="s">
        <v>49</v>
      </c>
      <c r="C238" s="177">
        <v>3310120100</v>
      </c>
      <c r="D238" s="177"/>
      <c r="E238" s="33" t="s">
        <v>221</v>
      </c>
      <c r="F238" s="14">
        <f>F239</f>
        <v>665.3</v>
      </c>
      <c r="G238" s="14">
        <f t="shared" si="65"/>
        <v>0</v>
      </c>
      <c r="H238" s="14">
        <f t="shared" si="65"/>
        <v>0</v>
      </c>
    </row>
    <row r="239" spans="1:8" ht="31.5">
      <c r="A239" s="177" t="s">
        <v>19</v>
      </c>
      <c r="B239" s="177" t="s">
        <v>49</v>
      </c>
      <c r="C239" s="177">
        <v>3310120100</v>
      </c>
      <c r="D239" s="177" t="s">
        <v>69</v>
      </c>
      <c r="E239" s="30" t="s">
        <v>95</v>
      </c>
      <c r="F239" s="14">
        <f>F240</f>
        <v>665.3</v>
      </c>
      <c r="G239" s="14">
        <f t="shared" si="65"/>
        <v>0</v>
      </c>
      <c r="H239" s="14">
        <f t="shared" si="65"/>
        <v>0</v>
      </c>
    </row>
    <row r="240" spans="1:8" ht="31.5">
      <c r="A240" s="177" t="s">
        <v>19</v>
      </c>
      <c r="B240" s="177" t="s">
        <v>49</v>
      </c>
      <c r="C240" s="177">
        <v>3310120100</v>
      </c>
      <c r="D240" s="177">
        <v>240</v>
      </c>
      <c r="E240" s="30" t="s">
        <v>216</v>
      </c>
      <c r="F240" s="14">
        <f>437.4+227.9</f>
        <v>665.3</v>
      </c>
      <c r="G240" s="14">
        <v>0</v>
      </c>
      <c r="H240" s="14">
        <v>0</v>
      </c>
    </row>
    <row r="241" spans="1:8">
      <c r="A241" s="177" t="s">
        <v>19</v>
      </c>
      <c r="B241" s="177" t="s">
        <v>49</v>
      </c>
      <c r="C241" s="177">
        <v>3310200000</v>
      </c>
      <c r="D241" s="177"/>
      <c r="E241" s="178" t="s">
        <v>317</v>
      </c>
      <c r="F241" s="14">
        <f>F242</f>
        <v>5694.2999999999993</v>
      </c>
      <c r="G241" s="14">
        <f t="shared" ref="G241:H241" si="66">G242</f>
        <v>0</v>
      </c>
      <c r="H241" s="14">
        <f t="shared" si="66"/>
        <v>0</v>
      </c>
    </row>
    <row r="242" spans="1:8" ht="31.5">
      <c r="A242" s="177" t="s">
        <v>19</v>
      </c>
      <c r="B242" s="177" t="s">
        <v>49</v>
      </c>
      <c r="C242" s="177" t="s">
        <v>364</v>
      </c>
      <c r="D242" s="177"/>
      <c r="E242" s="178" t="s">
        <v>392</v>
      </c>
      <c r="F242" s="14">
        <f>F243</f>
        <v>5694.2999999999993</v>
      </c>
      <c r="G242" s="14">
        <f t="shared" ref="G242:H243" si="67">G243</f>
        <v>0</v>
      </c>
      <c r="H242" s="14">
        <f t="shared" si="67"/>
        <v>0</v>
      </c>
    </row>
    <row r="243" spans="1:8" ht="31.5">
      <c r="A243" s="177" t="s">
        <v>19</v>
      </c>
      <c r="B243" s="177" t="s">
        <v>49</v>
      </c>
      <c r="C243" s="177" t="s">
        <v>364</v>
      </c>
      <c r="D243" s="177" t="s">
        <v>69</v>
      </c>
      <c r="E243" s="178" t="s">
        <v>95</v>
      </c>
      <c r="F243" s="14">
        <f>F244</f>
        <v>5694.2999999999993</v>
      </c>
      <c r="G243" s="14">
        <f t="shared" si="67"/>
        <v>0</v>
      </c>
      <c r="H243" s="14">
        <f t="shared" si="67"/>
        <v>0</v>
      </c>
    </row>
    <row r="244" spans="1:8" ht="31.5">
      <c r="A244" s="177" t="s">
        <v>19</v>
      </c>
      <c r="B244" s="177" t="s">
        <v>49</v>
      </c>
      <c r="C244" s="177" t="s">
        <v>364</v>
      </c>
      <c r="D244" s="177">
        <v>240</v>
      </c>
      <c r="E244" s="178" t="s">
        <v>216</v>
      </c>
      <c r="F244" s="14">
        <f>5637.4+56.9</f>
        <v>5694.2999999999993</v>
      </c>
      <c r="G244" s="14">
        <v>0</v>
      </c>
      <c r="H244" s="14">
        <v>0</v>
      </c>
    </row>
    <row r="245" spans="1:8" ht="47.25">
      <c r="A245" s="177" t="s">
        <v>19</v>
      </c>
      <c r="B245" s="177" t="s">
        <v>49</v>
      </c>
      <c r="C245" s="177" t="s">
        <v>365</v>
      </c>
      <c r="D245" s="177" t="s">
        <v>66</v>
      </c>
      <c r="E245" s="178" t="s">
        <v>301</v>
      </c>
      <c r="F245" s="14">
        <f>F246+F249</f>
        <v>13001.7</v>
      </c>
      <c r="G245" s="14">
        <f t="shared" ref="G245:H245" si="68">G246+G249</f>
        <v>152.5</v>
      </c>
      <c r="H245" s="14">
        <f t="shared" si="68"/>
        <v>0</v>
      </c>
    </row>
    <row r="246" spans="1:8" ht="31.5">
      <c r="A246" s="177" t="s">
        <v>19</v>
      </c>
      <c r="B246" s="177" t="s">
        <v>49</v>
      </c>
      <c r="C246" s="177" t="s">
        <v>366</v>
      </c>
      <c r="D246" s="177" t="s">
        <v>66</v>
      </c>
      <c r="E246" s="178" t="s">
        <v>302</v>
      </c>
      <c r="F246" s="14">
        <f>F247</f>
        <v>12797</v>
      </c>
      <c r="G246" s="14">
        <f t="shared" ref="G246:H247" si="69">G247</f>
        <v>152.5</v>
      </c>
      <c r="H246" s="14">
        <f t="shared" si="69"/>
        <v>0</v>
      </c>
    </row>
    <row r="247" spans="1:8" ht="31.5">
      <c r="A247" s="177" t="s">
        <v>19</v>
      </c>
      <c r="B247" s="177" t="s">
        <v>49</v>
      </c>
      <c r="C247" s="177" t="s">
        <v>366</v>
      </c>
      <c r="D247" s="177" t="s">
        <v>69</v>
      </c>
      <c r="E247" s="178" t="s">
        <v>95</v>
      </c>
      <c r="F247" s="14">
        <f>F248</f>
        <v>12797</v>
      </c>
      <c r="G247" s="14">
        <f t="shared" si="69"/>
        <v>152.5</v>
      </c>
      <c r="H247" s="14">
        <f t="shared" si="69"/>
        <v>0</v>
      </c>
    </row>
    <row r="248" spans="1:8" ht="31.5">
      <c r="A248" s="177" t="s">
        <v>19</v>
      </c>
      <c r="B248" s="177" t="s">
        <v>49</v>
      </c>
      <c r="C248" s="177" t="s">
        <v>366</v>
      </c>
      <c r="D248" s="177">
        <v>240</v>
      </c>
      <c r="E248" s="178" t="s">
        <v>216</v>
      </c>
      <c r="F248" s="14">
        <f>12669+128</f>
        <v>12797</v>
      </c>
      <c r="G248" s="14">
        <f>128+24.5</f>
        <v>152.5</v>
      </c>
      <c r="H248" s="14">
        <v>0</v>
      </c>
    </row>
    <row r="249" spans="1:8" ht="31.5">
      <c r="A249" s="177" t="s">
        <v>19</v>
      </c>
      <c r="B249" s="177" t="s">
        <v>49</v>
      </c>
      <c r="C249" s="177" t="s">
        <v>367</v>
      </c>
      <c r="D249" s="177" t="s">
        <v>66</v>
      </c>
      <c r="E249" s="178" t="s">
        <v>310</v>
      </c>
      <c r="F249" s="14">
        <f>F250</f>
        <v>204.7</v>
      </c>
      <c r="G249" s="14">
        <f t="shared" ref="G249:H250" si="70">G250</f>
        <v>0</v>
      </c>
      <c r="H249" s="14">
        <f t="shared" si="70"/>
        <v>0</v>
      </c>
    </row>
    <row r="250" spans="1:8" ht="31.5">
      <c r="A250" s="177" t="s">
        <v>19</v>
      </c>
      <c r="B250" s="177" t="s">
        <v>49</v>
      </c>
      <c r="C250" s="177" t="s">
        <v>367</v>
      </c>
      <c r="D250" s="177" t="s">
        <v>69</v>
      </c>
      <c r="E250" s="178" t="s">
        <v>95</v>
      </c>
      <c r="F250" s="14">
        <f>F251</f>
        <v>204.7</v>
      </c>
      <c r="G250" s="14">
        <f t="shared" si="70"/>
        <v>0</v>
      </c>
      <c r="H250" s="14">
        <f t="shared" si="70"/>
        <v>0</v>
      </c>
    </row>
    <row r="251" spans="1:8" ht="31.5">
      <c r="A251" s="177" t="s">
        <v>19</v>
      </c>
      <c r="B251" s="177" t="s">
        <v>49</v>
      </c>
      <c r="C251" s="177" t="s">
        <v>367</v>
      </c>
      <c r="D251" s="177">
        <v>240</v>
      </c>
      <c r="E251" s="178" t="s">
        <v>216</v>
      </c>
      <c r="F251" s="14">
        <f>223.8+182.7-182-19.8</f>
        <v>204.7</v>
      </c>
      <c r="G251" s="14">
        <v>0</v>
      </c>
      <c r="H251" s="14">
        <v>0</v>
      </c>
    </row>
    <row r="252" spans="1:8">
      <c r="A252" s="177" t="s">
        <v>19</v>
      </c>
      <c r="B252" s="177" t="s">
        <v>49</v>
      </c>
      <c r="C252" s="177">
        <v>3320000000</v>
      </c>
      <c r="D252" s="177"/>
      <c r="E252" s="178" t="s">
        <v>176</v>
      </c>
      <c r="F252" s="14">
        <f>F281+F300+F253+F304+F308</f>
        <v>61257.8</v>
      </c>
      <c r="G252" s="14">
        <f>G281+G300+G253+G304+G308</f>
        <v>40293</v>
      </c>
      <c r="H252" s="14">
        <f>H281+H300+H253+H304+H308</f>
        <v>37170.799999999996</v>
      </c>
    </row>
    <row r="253" spans="1:8" ht="31.5">
      <c r="A253" s="177" t="s">
        <v>19</v>
      </c>
      <c r="B253" s="177" t="s">
        <v>49</v>
      </c>
      <c r="C253" s="177">
        <v>3320100000</v>
      </c>
      <c r="D253" s="177"/>
      <c r="E253" s="178" t="s">
        <v>318</v>
      </c>
      <c r="F253" s="14">
        <f>F260+F263+F266+F254+F257+F269+F272+F275+F278</f>
        <v>3287.7999999999997</v>
      </c>
      <c r="G253" s="14">
        <f t="shared" ref="G253:H253" si="71">G260+G263+G266+G254+G257+G269+G272+G275+G278</f>
        <v>20</v>
      </c>
      <c r="H253" s="14">
        <f t="shared" si="71"/>
        <v>0</v>
      </c>
    </row>
    <row r="254" spans="1:8" ht="63">
      <c r="A254" s="177" t="s">
        <v>19</v>
      </c>
      <c r="B254" s="177" t="s">
        <v>49</v>
      </c>
      <c r="C254" s="177">
        <v>3320119090</v>
      </c>
      <c r="D254" s="177"/>
      <c r="E254" s="178" t="s">
        <v>416</v>
      </c>
      <c r="F254" s="14">
        <f>F255</f>
        <v>1003.9</v>
      </c>
      <c r="G254" s="14">
        <f t="shared" ref="G254:H255" si="72">G255</f>
        <v>0</v>
      </c>
      <c r="H254" s="14">
        <f t="shared" si="72"/>
        <v>0</v>
      </c>
    </row>
    <row r="255" spans="1:8" ht="31.5">
      <c r="A255" s="177" t="s">
        <v>19</v>
      </c>
      <c r="B255" s="177" t="s">
        <v>49</v>
      </c>
      <c r="C255" s="177">
        <v>3320119090</v>
      </c>
      <c r="D255" s="177" t="s">
        <v>69</v>
      </c>
      <c r="E255" s="178" t="s">
        <v>95</v>
      </c>
      <c r="F255" s="14">
        <f>F256</f>
        <v>1003.9</v>
      </c>
      <c r="G255" s="14">
        <f t="shared" si="72"/>
        <v>0</v>
      </c>
      <c r="H255" s="14">
        <f t="shared" si="72"/>
        <v>0</v>
      </c>
    </row>
    <row r="256" spans="1:8" ht="31.5">
      <c r="A256" s="177" t="s">
        <v>19</v>
      </c>
      <c r="B256" s="177" t="s">
        <v>49</v>
      </c>
      <c r="C256" s="177">
        <v>3320119090</v>
      </c>
      <c r="D256" s="177">
        <v>240</v>
      </c>
      <c r="E256" s="178" t="s">
        <v>216</v>
      </c>
      <c r="F256" s="14">
        <v>1003.9</v>
      </c>
      <c r="G256" s="14">
        <v>0</v>
      </c>
      <c r="H256" s="14">
        <v>0</v>
      </c>
    </row>
    <row r="257" spans="1:8" ht="63">
      <c r="A257" s="177" t="s">
        <v>19</v>
      </c>
      <c r="B257" s="177" t="s">
        <v>49</v>
      </c>
      <c r="C257" s="177">
        <v>3320119100</v>
      </c>
      <c r="D257" s="177"/>
      <c r="E257" s="178" t="s">
        <v>798</v>
      </c>
      <c r="F257" s="14">
        <f>F258</f>
        <v>1476.5</v>
      </c>
      <c r="G257" s="14">
        <f t="shared" ref="G257:H258" si="73">G258</f>
        <v>0</v>
      </c>
      <c r="H257" s="14">
        <f t="shared" si="73"/>
        <v>0</v>
      </c>
    </row>
    <row r="258" spans="1:8" ht="31.5">
      <c r="A258" s="177" t="s">
        <v>19</v>
      </c>
      <c r="B258" s="177" t="s">
        <v>49</v>
      </c>
      <c r="C258" s="177">
        <v>3320119100</v>
      </c>
      <c r="D258" s="177" t="s">
        <v>69</v>
      </c>
      <c r="E258" s="178" t="s">
        <v>95</v>
      </c>
      <c r="F258" s="14">
        <f>F259</f>
        <v>1476.5</v>
      </c>
      <c r="G258" s="14">
        <f t="shared" si="73"/>
        <v>0</v>
      </c>
      <c r="H258" s="14">
        <f t="shared" si="73"/>
        <v>0</v>
      </c>
    </row>
    <row r="259" spans="1:8" ht="31.5">
      <c r="A259" s="177" t="s">
        <v>19</v>
      </c>
      <c r="B259" s="177" t="s">
        <v>49</v>
      </c>
      <c r="C259" s="177">
        <v>3320119100</v>
      </c>
      <c r="D259" s="177">
        <v>240</v>
      </c>
      <c r="E259" s="178" t="s">
        <v>216</v>
      </c>
      <c r="F259" s="14">
        <v>1476.5</v>
      </c>
      <c r="G259" s="14">
        <v>0</v>
      </c>
      <c r="H259" s="14">
        <v>0</v>
      </c>
    </row>
    <row r="260" spans="1:8">
      <c r="A260" s="177" t="s">
        <v>19</v>
      </c>
      <c r="B260" s="177" t="s">
        <v>49</v>
      </c>
      <c r="C260" s="177">
        <v>3320120100</v>
      </c>
      <c r="D260" s="177"/>
      <c r="E260" s="178" t="s">
        <v>221</v>
      </c>
      <c r="F260" s="14">
        <f>F261</f>
        <v>449.99999999999989</v>
      </c>
      <c r="G260" s="14">
        <f t="shared" ref="G260:H261" si="74">G261</f>
        <v>0</v>
      </c>
      <c r="H260" s="14">
        <f t="shared" si="74"/>
        <v>0</v>
      </c>
    </row>
    <row r="261" spans="1:8" ht="31.5">
      <c r="A261" s="177" t="s">
        <v>19</v>
      </c>
      <c r="B261" s="177" t="s">
        <v>49</v>
      </c>
      <c r="C261" s="177">
        <v>3320120100</v>
      </c>
      <c r="D261" s="177" t="s">
        <v>69</v>
      </c>
      <c r="E261" s="178" t="s">
        <v>95</v>
      </c>
      <c r="F261" s="14">
        <f>F262</f>
        <v>449.99999999999989</v>
      </c>
      <c r="G261" s="14">
        <f t="shared" si="74"/>
        <v>0</v>
      </c>
      <c r="H261" s="14">
        <f t="shared" si="74"/>
        <v>0</v>
      </c>
    </row>
    <row r="262" spans="1:8" ht="31.5">
      <c r="A262" s="177" t="s">
        <v>19</v>
      </c>
      <c r="B262" s="177" t="s">
        <v>49</v>
      </c>
      <c r="C262" s="177">
        <v>3320120100</v>
      </c>
      <c r="D262" s="177">
        <v>240</v>
      </c>
      <c r="E262" s="178" t="s">
        <v>216</v>
      </c>
      <c r="F262" s="14">
        <f>208.7+323.9-82.6</f>
        <v>449.99999999999989</v>
      </c>
      <c r="G262" s="14">
        <v>0</v>
      </c>
      <c r="H262" s="14">
        <v>0</v>
      </c>
    </row>
    <row r="263" spans="1:8" ht="63">
      <c r="A263" s="177" t="s">
        <v>19</v>
      </c>
      <c r="B263" s="177" t="s">
        <v>49</v>
      </c>
      <c r="C263" s="177">
        <v>3320129090</v>
      </c>
      <c r="D263" s="177"/>
      <c r="E263" s="178" t="s">
        <v>322</v>
      </c>
      <c r="F263" s="14">
        <f>F264</f>
        <v>186.4</v>
      </c>
      <c r="G263" s="14">
        <f t="shared" ref="G263:H264" si="75">G264</f>
        <v>0</v>
      </c>
      <c r="H263" s="14">
        <f t="shared" si="75"/>
        <v>0</v>
      </c>
    </row>
    <row r="264" spans="1:8" ht="31.5">
      <c r="A264" s="177" t="s">
        <v>19</v>
      </c>
      <c r="B264" s="177" t="s">
        <v>49</v>
      </c>
      <c r="C264" s="177">
        <v>3320129090</v>
      </c>
      <c r="D264" s="177" t="s">
        <v>69</v>
      </c>
      <c r="E264" s="178" t="s">
        <v>95</v>
      </c>
      <c r="F264" s="14">
        <f>F265</f>
        <v>186.4</v>
      </c>
      <c r="G264" s="14">
        <f t="shared" si="75"/>
        <v>0</v>
      </c>
      <c r="H264" s="14">
        <f t="shared" si="75"/>
        <v>0</v>
      </c>
    </row>
    <row r="265" spans="1:8" ht="31.5">
      <c r="A265" s="177" t="s">
        <v>19</v>
      </c>
      <c r="B265" s="177" t="s">
        <v>49</v>
      </c>
      <c r="C265" s="177">
        <v>3320129090</v>
      </c>
      <c r="D265" s="177">
        <v>240</v>
      </c>
      <c r="E265" s="178" t="s">
        <v>216</v>
      </c>
      <c r="F265" s="14">
        <f>1+250-64.6</f>
        <v>186.4</v>
      </c>
      <c r="G265" s="14">
        <v>0</v>
      </c>
      <c r="H265" s="14">
        <v>0</v>
      </c>
    </row>
    <row r="266" spans="1:8" ht="63">
      <c r="A266" s="177" t="s">
        <v>19</v>
      </c>
      <c r="B266" s="177" t="s">
        <v>49</v>
      </c>
      <c r="C266" s="177">
        <v>3320129100</v>
      </c>
      <c r="D266" s="177"/>
      <c r="E266" s="178" t="s">
        <v>799</v>
      </c>
      <c r="F266" s="14">
        <f>F267</f>
        <v>171</v>
      </c>
      <c r="G266" s="14">
        <f t="shared" ref="G266:H267" si="76">G267</f>
        <v>0</v>
      </c>
      <c r="H266" s="14">
        <f t="shared" si="76"/>
        <v>0</v>
      </c>
    </row>
    <row r="267" spans="1:8" ht="31.5">
      <c r="A267" s="177" t="s">
        <v>19</v>
      </c>
      <c r="B267" s="177" t="s">
        <v>49</v>
      </c>
      <c r="C267" s="177">
        <v>3320129100</v>
      </c>
      <c r="D267" s="177" t="s">
        <v>69</v>
      </c>
      <c r="E267" s="178" t="s">
        <v>95</v>
      </c>
      <c r="F267" s="14">
        <f>F268</f>
        <v>171</v>
      </c>
      <c r="G267" s="14">
        <f t="shared" si="76"/>
        <v>0</v>
      </c>
      <c r="H267" s="14">
        <f t="shared" si="76"/>
        <v>0</v>
      </c>
    </row>
    <row r="268" spans="1:8" ht="31.5">
      <c r="A268" s="177" t="s">
        <v>19</v>
      </c>
      <c r="B268" s="177" t="s">
        <v>49</v>
      </c>
      <c r="C268" s="177">
        <v>3320129100</v>
      </c>
      <c r="D268" s="177">
        <v>240</v>
      </c>
      <c r="E268" s="178" t="s">
        <v>216</v>
      </c>
      <c r="F268" s="14">
        <f>1+175.3-5.3</f>
        <v>171</v>
      </c>
      <c r="G268" s="14">
        <v>0</v>
      </c>
      <c r="H268" s="14">
        <v>0</v>
      </c>
    </row>
    <row r="269" spans="1:8" ht="63">
      <c r="A269" s="177" t="s">
        <v>19</v>
      </c>
      <c r="B269" s="177" t="s">
        <v>49</v>
      </c>
      <c r="C269" s="177">
        <v>3320129101</v>
      </c>
      <c r="D269" s="177"/>
      <c r="E269" s="178" t="s">
        <v>806</v>
      </c>
      <c r="F269" s="14">
        <f>F270</f>
        <v>0</v>
      </c>
      <c r="G269" s="14">
        <f t="shared" ref="G269:H270" si="77">G270</f>
        <v>5</v>
      </c>
      <c r="H269" s="14">
        <f t="shared" si="77"/>
        <v>0</v>
      </c>
    </row>
    <row r="270" spans="1:8" ht="31.5">
      <c r="A270" s="177" t="s">
        <v>19</v>
      </c>
      <c r="B270" s="177" t="s">
        <v>49</v>
      </c>
      <c r="C270" s="177">
        <v>3320129101</v>
      </c>
      <c r="D270" s="177" t="s">
        <v>69</v>
      </c>
      <c r="E270" s="178" t="s">
        <v>95</v>
      </c>
      <c r="F270" s="14">
        <f>F271</f>
        <v>0</v>
      </c>
      <c r="G270" s="14">
        <f t="shared" si="77"/>
        <v>5</v>
      </c>
      <c r="H270" s="14">
        <f t="shared" si="77"/>
        <v>0</v>
      </c>
    </row>
    <row r="271" spans="1:8" ht="31.5">
      <c r="A271" s="177" t="s">
        <v>19</v>
      </c>
      <c r="B271" s="177" t="s">
        <v>49</v>
      </c>
      <c r="C271" s="177">
        <v>3320129101</v>
      </c>
      <c r="D271" s="177">
        <v>240</v>
      </c>
      <c r="E271" s="178" t="s">
        <v>216</v>
      </c>
      <c r="F271" s="14">
        <v>0</v>
      </c>
      <c r="G271" s="14">
        <v>5</v>
      </c>
      <c r="H271" s="14">
        <v>0</v>
      </c>
    </row>
    <row r="272" spans="1:8" ht="63">
      <c r="A272" s="177" t="s">
        <v>19</v>
      </c>
      <c r="B272" s="177" t="s">
        <v>49</v>
      </c>
      <c r="C272" s="177">
        <v>3320129102</v>
      </c>
      <c r="D272" s="177"/>
      <c r="E272" s="178" t="s">
        <v>807</v>
      </c>
      <c r="F272" s="14">
        <f>F273</f>
        <v>0</v>
      </c>
      <c r="G272" s="14">
        <f t="shared" ref="G272:H273" si="78">G273</f>
        <v>5</v>
      </c>
      <c r="H272" s="14">
        <f t="shared" si="78"/>
        <v>0</v>
      </c>
    </row>
    <row r="273" spans="1:8" ht="31.5">
      <c r="A273" s="177" t="s">
        <v>19</v>
      </c>
      <c r="B273" s="177" t="s">
        <v>49</v>
      </c>
      <c r="C273" s="177">
        <v>3320129102</v>
      </c>
      <c r="D273" s="177" t="s">
        <v>69</v>
      </c>
      <c r="E273" s="178" t="s">
        <v>95</v>
      </c>
      <c r="F273" s="14">
        <f>F274</f>
        <v>0</v>
      </c>
      <c r="G273" s="14">
        <f t="shared" si="78"/>
        <v>5</v>
      </c>
      <c r="H273" s="14">
        <f t="shared" si="78"/>
        <v>0</v>
      </c>
    </row>
    <row r="274" spans="1:8" ht="31.5">
      <c r="A274" s="177" t="s">
        <v>19</v>
      </c>
      <c r="B274" s="177" t="s">
        <v>49</v>
      </c>
      <c r="C274" s="177">
        <v>3320129102</v>
      </c>
      <c r="D274" s="177">
        <v>240</v>
      </c>
      <c r="E274" s="178" t="s">
        <v>216</v>
      </c>
      <c r="F274" s="14">
        <v>0</v>
      </c>
      <c r="G274" s="14">
        <v>5</v>
      </c>
      <c r="H274" s="14">
        <v>0</v>
      </c>
    </row>
    <row r="275" spans="1:8" ht="63">
      <c r="A275" s="177" t="s">
        <v>19</v>
      </c>
      <c r="B275" s="177" t="s">
        <v>49</v>
      </c>
      <c r="C275" s="177">
        <v>3320129103</v>
      </c>
      <c r="D275" s="177"/>
      <c r="E275" s="178" t="s">
        <v>808</v>
      </c>
      <c r="F275" s="14">
        <f>F276</f>
        <v>0</v>
      </c>
      <c r="G275" s="14">
        <f>G276</f>
        <v>5</v>
      </c>
      <c r="H275" s="14">
        <f t="shared" ref="H275:H276" si="79">H276</f>
        <v>0</v>
      </c>
    </row>
    <row r="276" spans="1:8" ht="31.5">
      <c r="A276" s="177" t="s">
        <v>19</v>
      </c>
      <c r="B276" s="177" t="s">
        <v>49</v>
      </c>
      <c r="C276" s="177">
        <v>3320129103</v>
      </c>
      <c r="D276" s="177" t="s">
        <v>69</v>
      </c>
      <c r="E276" s="178" t="s">
        <v>95</v>
      </c>
      <c r="F276" s="14">
        <f>F277</f>
        <v>0</v>
      </c>
      <c r="G276" s="14">
        <f t="shared" ref="G276" si="80">G277</f>
        <v>5</v>
      </c>
      <c r="H276" s="14">
        <f t="shared" si="79"/>
        <v>0</v>
      </c>
    </row>
    <row r="277" spans="1:8" ht="31.5">
      <c r="A277" s="177" t="s">
        <v>19</v>
      </c>
      <c r="B277" s="177" t="s">
        <v>49</v>
      </c>
      <c r="C277" s="177">
        <v>3320129103</v>
      </c>
      <c r="D277" s="177">
        <v>240</v>
      </c>
      <c r="E277" s="178" t="s">
        <v>216</v>
      </c>
      <c r="F277" s="14">
        <v>0</v>
      </c>
      <c r="G277" s="14">
        <v>5</v>
      </c>
      <c r="H277" s="14">
        <v>0</v>
      </c>
    </row>
    <row r="278" spans="1:8" ht="63">
      <c r="A278" s="177" t="s">
        <v>19</v>
      </c>
      <c r="B278" s="177" t="s">
        <v>49</v>
      </c>
      <c r="C278" s="177">
        <v>3320129104</v>
      </c>
      <c r="D278" s="177"/>
      <c r="E278" s="178" t="s">
        <v>809</v>
      </c>
      <c r="F278" s="14">
        <f>F279</f>
        <v>0</v>
      </c>
      <c r="G278" s="14">
        <f>G279</f>
        <v>5</v>
      </c>
      <c r="H278" s="14">
        <f t="shared" ref="H278:H279" si="81">H279</f>
        <v>0</v>
      </c>
    </row>
    <row r="279" spans="1:8" ht="31.5">
      <c r="A279" s="177" t="s">
        <v>19</v>
      </c>
      <c r="B279" s="177" t="s">
        <v>49</v>
      </c>
      <c r="C279" s="177">
        <v>3320129104</v>
      </c>
      <c r="D279" s="177" t="s">
        <v>69</v>
      </c>
      <c r="E279" s="178" t="s">
        <v>95</v>
      </c>
      <c r="F279" s="14">
        <f>F280</f>
        <v>0</v>
      </c>
      <c r="G279" s="14">
        <f t="shared" ref="G279" si="82">G280</f>
        <v>5</v>
      </c>
      <c r="H279" s="14">
        <f t="shared" si="81"/>
        <v>0</v>
      </c>
    </row>
    <row r="280" spans="1:8" ht="35.25" customHeight="1">
      <c r="A280" s="177" t="s">
        <v>19</v>
      </c>
      <c r="B280" s="177" t="s">
        <v>49</v>
      </c>
      <c r="C280" s="177">
        <v>3320129104</v>
      </c>
      <c r="D280" s="177">
        <v>240</v>
      </c>
      <c r="E280" s="178" t="s">
        <v>216</v>
      </c>
      <c r="F280" s="14">
        <v>0</v>
      </c>
      <c r="G280" s="14">
        <v>5</v>
      </c>
      <c r="H280" s="14">
        <v>0</v>
      </c>
    </row>
    <row r="281" spans="1:8">
      <c r="A281" s="177" t="s">
        <v>19</v>
      </c>
      <c r="B281" s="177" t="s">
        <v>49</v>
      </c>
      <c r="C281" s="177">
        <v>3320200000</v>
      </c>
      <c r="D281" s="177"/>
      <c r="E281" s="178" t="s">
        <v>128</v>
      </c>
      <c r="F281" s="14">
        <f>F282+F285+F288+F294+F291+F297</f>
        <v>44928.2</v>
      </c>
      <c r="G281" s="14">
        <f t="shared" ref="G281:H281" si="83">G282+G285+G288+G294+G291+G297</f>
        <v>28065.599999999999</v>
      </c>
      <c r="H281" s="14">
        <f t="shared" si="83"/>
        <v>24963.399999999998</v>
      </c>
    </row>
    <row r="282" spans="1:8">
      <c r="A282" s="177" t="s">
        <v>19</v>
      </c>
      <c r="B282" s="177" t="s">
        <v>49</v>
      </c>
      <c r="C282" s="177">
        <v>3320220050</v>
      </c>
      <c r="D282" s="177"/>
      <c r="E282" s="178" t="s">
        <v>129</v>
      </c>
      <c r="F282" s="14">
        <f t="shared" ref="F282:H283" si="84">F283</f>
        <v>20868.099999999999</v>
      </c>
      <c r="G282" s="14">
        <f t="shared" si="84"/>
        <v>20868.099999999999</v>
      </c>
      <c r="H282" s="14">
        <f t="shared" si="84"/>
        <v>20868.099999999999</v>
      </c>
    </row>
    <row r="283" spans="1:8" ht="31.5">
      <c r="A283" s="177" t="s">
        <v>19</v>
      </c>
      <c r="B283" s="177" t="s">
        <v>49</v>
      </c>
      <c r="C283" s="177">
        <v>3320220050</v>
      </c>
      <c r="D283" s="177" t="s">
        <v>69</v>
      </c>
      <c r="E283" s="178" t="s">
        <v>95</v>
      </c>
      <c r="F283" s="14">
        <f t="shared" si="84"/>
        <v>20868.099999999999</v>
      </c>
      <c r="G283" s="14">
        <f t="shared" si="84"/>
        <v>20868.099999999999</v>
      </c>
      <c r="H283" s="14">
        <f t="shared" si="84"/>
        <v>20868.099999999999</v>
      </c>
    </row>
    <row r="284" spans="1:8" ht="31.5">
      <c r="A284" s="177" t="s">
        <v>19</v>
      </c>
      <c r="B284" s="177" t="s">
        <v>49</v>
      </c>
      <c r="C284" s="177">
        <v>3320220050</v>
      </c>
      <c r="D284" s="177">
        <v>240</v>
      </c>
      <c r="E284" s="178" t="s">
        <v>216</v>
      </c>
      <c r="F284" s="14">
        <v>20868.099999999999</v>
      </c>
      <c r="G284" s="14">
        <v>20868.099999999999</v>
      </c>
      <c r="H284" s="14">
        <v>20868.099999999999</v>
      </c>
    </row>
    <row r="285" spans="1:8">
      <c r="A285" s="177" t="s">
        <v>19</v>
      </c>
      <c r="B285" s="177" t="s">
        <v>49</v>
      </c>
      <c r="C285" s="177">
        <v>3320220070</v>
      </c>
      <c r="D285" s="177"/>
      <c r="E285" s="178" t="s">
        <v>130</v>
      </c>
      <c r="F285" s="14">
        <f>F286</f>
        <v>8342</v>
      </c>
      <c r="G285" s="14">
        <f t="shared" ref="G285:H285" si="85">G286</f>
        <v>6197.5</v>
      </c>
      <c r="H285" s="14">
        <f t="shared" si="85"/>
        <v>4095.3</v>
      </c>
    </row>
    <row r="286" spans="1:8" ht="31.5">
      <c r="A286" s="177" t="s">
        <v>19</v>
      </c>
      <c r="B286" s="177" t="s">
        <v>49</v>
      </c>
      <c r="C286" s="177">
        <v>3320220070</v>
      </c>
      <c r="D286" s="177" t="s">
        <v>69</v>
      </c>
      <c r="E286" s="178" t="s">
        <v>95</v>
      </c>
      <c r="F286" s="14">
        <f t="shared" ref="F286:H286" si="86">F287</f>
        <v>8342</v>
      </c>
      <c r="G286" s="14">
        <f t="shared" si="86"/>
        <v>6197.5</v>
      </c>
      <c r="H286" s="14">
        <f t="shared" si="86"/>
        <v>4095.3</v>
      </c>
    </row>
    <row r="287" spans="1:8" ht="31.5">
      <c r="A287" s="177" t="s">
        <v>19</v>
      </c>
      <c r="B287" s="177" t="s">
        <v>49</v>
      </c>
      <c r="C287" s="177">
        <v>3320220070</v>
      </c>
      <c r="D287" s="177">
        <v>240</v>
      </c>
      <c r="E287" s="178" t="s">
        <v>216</v>
      </c>
      <c r="F287" s="14">
        <f>6205.9+116.1+20+2000</f>
        <v>8342</v>
      </c>
      <c r="G287" s="14">
        <f>3932+2265.5</f>
        <v>6197.5</v>
      </c>
      <c r="H287" s="14">
        <f>2007.8+2087.5</f>
        <v>4095.3</v>
      </c>
    </row>
    <row r="288" spans="1:8">
      <c r="A288" s="177" t="s">
        <v>19</v>
      </c>
      <c r="B288" s="177" t="s">
        <v>49</v>
      </c>
      <c r="C288" s="177">
        <v>3320220080</v>
      </c>
      <c r="D288" s="177"/>
      <c r="E288" s="178" t="s">
        <v>131</v>
      </c>
      <c r="F288" s="14">
        <f t="shared" ref="F288:H289" si="87">F289</f>
        <v>3162</v>
      </c>
      <c r="G288" s="14">
        <f t="shared" si="87"/>
        <v>1000</v>
      </c>
      <c r="H288" s="14">
        <f t="shared" si="87"/>
        <v>0</v>
      </c>
    </row>
    <row r="289" spans="1:8" ht="31.5">
      <c r="A289" s="177" t="s">
        <v>19</v>
      </c>
      <c r="B289" s="177" t="s">
        <v>49</v>
      </c>
      <c r="C289" s="177">
        <v>3320220080</v>
      </c>
      <c r="D289" s="177" t="s">
        <v>69</v>
      </c>
      <c r="E289" s="178" t="s">
        <v>95</v>
      </c>
      <c r="F289" s="14">
        <f t="shared" si="87"/>
        <v>3162</v>
      </c>
      <c r="G289" s="14">
        <f t="shared" si="87"/>
        <v>1000</v>
      </c>
      <c r="H289" s="14">
        <f t="shared" si="87"/>
        <v>0</v>
      </c>
    </row>
    <row r="290" spans="1:8" ht="31.5">
      <c r="A290" s="177" t="s">
        <v>19</v>
      </c>
      <c r="B290" s="177" t="s">
        <v>49</v>
      </c>
      <c r="C290" s="177">
        <v>3320220080</v>
      </c>
      <c r="D290" s="177">
        <v>240</v>
      </c>
      <c r="E290" s="178" t="s">
        <v>216</v>
      </c>
      <c r="F290" s="14">
        <v>3162</v>
      </c>
      <c r="G290" s="14">
        <v>1000</v>
      </c>
      <c r="H290" s="14">
        <v>0</v>
      </c>
    </row>
    <row r="291" spans="1:8">
      <c r="A291" s="177" t="s">
        <v>19</v>
      </c>
      <c r="B291" s="177" t="s">
        <v>49</v>
      </c>
      <c r="C291" s="177">
        <v>3320220090</v>
      </c>
      <c r="D291" s="177"/>
      <c r="E291" s="5" t="s">
        <v>444</v>
      </c>
      <c r="F291" s="14">
        <f>F292</f>
        <v>580.10000000000014</v>
      </c>
      <c r="G291" s="14">
        <f t="shared" ref="G291:H292" si="88">G292</f>
        <v>0</v>
      </c>
      <c r="H291" s="14">
        <f t="shared" si="88"/>
        <v>0</v>
      </c>
    </row>
    <row r="292" spans="1:8" ht="31.5">
      <c r="A292" s="177" t="s">
        <v>19</v>
      </c>
      <c r="B292" s="177" t="s">
        <v>49</v>
      </c>
      <c r="C292" s="177">
        <v>3320220090</v>
      </c>
      <c r="D292" s="177" t="s">
        <v>69</v>
      </c>
      <c r="E292" s="178" t="s">
        <v>95</v>
      </c>
      <c r="F292" s="14">
        <f>F293</f>
        <v>580.10000000000014</v>
      </c>
      <c r="G292" s="14">
        <f t="shared" si="88"/>
        <v>0</v>
      </c>
      <c r="H292" s="14">
        <f t="shared" si="88"/>
        <v>0</v>
      </c>
    </row>
    <row r="293" spans="1:8" ht="31.5">
      <c r="A293" s="177" t="s">
        <v>19</v>
      </c>
      <c r="B293" s="177" t="s">
        <v>49</v>
      </c>
      <c r="C293" s="177">
        <v>3320220090</v>
      </c>
      <c r="D293" s="177">
        <v>240</v>
      </c>
      <c r="E293" s="178" t="s">
        <v>216</v>
      </c>
      <c r="F293" s="14">
        <f>580-20+786.9-55.6-711.2</f>
        <v>580.10000000000014</v>
      </c>
      <c r="G293" s="14">
        <v>0</v>
      </c>
      <c r="H293" s="14">
        <v>0</v>
      </c>
    </row>
    <row r="294" spans="1:8">
      <c r="A294" s="177" t="s">
        <v>19</v>
      </c>
      <c r="B294" s="177" t="s">
        <v>49</v>
      </c>
      <c r="C294" s="177">
        <v>3320220110</v>
      </c>
      <c r="D294" s="177"/>
      <c r="E294" s="178" t="s">
        <v>272</v>
      </c>
      <c r="F294" s="14">
        <f t="shared" ref="F294:H295" si="89">F295</f>
        <v>11405</v>
      </c>
      <c r="G294" s="14">
        <f t="shared" si="89"/>
        <v>0</v>
      </c>
      <c r="H294" s="14">
        <f t="shared" si="89"/>
        <v>0</v>
      </c>
    </row>
    <row r="295" spans="1:8" ht="31.5">
      <c r="A295" s="177" t="s">
        <v>19</v>
      </c>
      <c r="B295" s="177" t="s">
        <v>49</v>
      </c>
      <c r="C295" s="177">
        <v>3320220110</v>
      </c>
      <c r="D295" s="177" t="s">
        <v>69</v>
      </c>
      <c r="E295" s="178" t="s">
        <v>95</v>
      </c>
      <c r="F295" s="14">
        <f t="shared" si="89"/>
        <v>11405</v>
      </c>
      <c r="G295" s="14">
        <f t="shared" si="89"/>
        <v>0</v>
      </c>
      <c r="H295" s="14">
        <f t="shared" si="89"/>
        <v>0</v>
      </c>
    </row>
    <row r="296" spans="1:8" ht="31.5">
      <c r="A296" s="177" t="s">
        <v>19</v>
      </c>
      <c r="B296" s="177" t="s">
        <v>49</v>
      </c>
      <c r="C296" s="177">
        <v>3320220110</v>
      </c>
      <c r="D296" s="177">
        <v>240</v>
      </c>
      <c r="E296" s="178" t="s">
        <v>216</v>
      </c>
      <c r="F296" s="14">
        <v>11405</v>
      </c>
      <c r="G296" s="14">
        <v>0</v>
      </c>
      <c r="H296" s="14">
        <v>0</v>
      </c>
    </row>
    <row r="297" spans="1:8">
      <c r="A297" s="177" t="s">
        <v>19</v>
      </c>
      <c r="B297" s="177" t="s">
        <v>49</v>
      </c>
      <c r="C297" s="177" t="s">
        <v>470</v>
      </c>
      <c r="D297" s="177"/>
      <c r="E297" s="178" t="s">
        <v>471</v>
      </c>
      <c r="F297" s="14">
        <f>F298</f>
        <v>571</v>
      </c>
      <c r="G297" s="14">
        <f t="shared" ref="G297:H298" si="90">G298</f>
        <v>0</v>
      </c>
      <c r="H297" s="14">
        <f t="shared" si="90"/>
        <v>0</v>
      </c>
    </row>
    <row r="298" spans="1:8" ht="31.5">
      <c r="A298" s="177" t="s">
        <v>19</v>
      </c>
      <c r="B298" s="177" t="s">
        <v>49</v>
      </c>
      <c r="C298" s="177" t="s">
        <v>470</v>
      </c>
      <c r="D298" s="177" t="s">
        <v>69</v>
      </c>
      <c r="E298" s="178" t="s">
        <v>95</v>
      </c>
      <c r="F298" s="14">
        <f>F299</f>
        <v>571</v>
      </c>
      <c r="G298" s="14">
        <f t="shared" si="90"/>
        <v>0</v>
      </c>
      <c r="H298" s="14">
        <f t="shared" si="90"/>
        <v>0</v>
      </c>
    </row>
    <row r="299" spans="1:8" ht="31.5">
      <c r="A299" s="177" t="s">
        <v>19</v>
      </c>
      <c r="B299" s="177" t="s">
        <v>49</v>
      </c>
      <c r="C299" s="177" t="s">
        <v>470</v>
      </c>
      <c r="D299" s="177">
        <v>240</v>
      </c>
      <c r="E299" s="178" t="s">
        <v>216</v>
      </c>
      <c r="F299" s="14">
        <f>207.7+103.8+207.6+51.9</f>
        <v>571</v>
      </c>
      <c r="G299" s="14">
        <v>0</v>
      </c>
      <c r="H299" s="14">
        <v>0</v>
      </c>
    </row>
    <row r="300" spans="1:8">
      <c r="A300" s="177" t="s">
        <v>19</v>
      </c>
      <c r="B300" s="177" t="s">
        <v>49</v>
      </c>
      <c r="C300" s="177">
        <v>3320300000</v>
      </c>
      <c r="D300" s="177"/>
      <c r="E300" s="178" t="s">
        <v>286</v>
      </c>
      <c r="F300" s="14">
        <f>F301</f>
        <v>1072.0999999999999</v>
      </c>
      <c r="G300" s="14">
        <f t="shared" ref="G300:H302" si="91">G301</f>
        <v>0</v>
      </c>
      <c r="H300" s="14">
        <f t="shared" si="91"/>
        <v>0</v>
      </c>
    </row>
    <row r="301" spans="1:8">
      <c r="A301" s="177" t="s">
        <v>19</v>
      </c>
      <c r="B301" s="177" t="s">
        <v>49</v>
      </c>
      <c r="C301" s="177">
        <v>3320320060</v>
      </c>
      <c r="D301" s="177"/>
      <c r="E301" s="178" t="s">
        <v>287</v>
      </c>
      <c r="F301" s="14">
        <f>F302</f>
        <v>1072.0999999999999</v>
      </c>
      <c r="G301" s="14">
        <f t="shared" si="91"/>
        <v>0</v>
      </c>
      <c r="H301" s="14">
        <f t="shared" si="91"/>
        <v>0</v>
      </c>
    </row>
    <row r="302" spans="1:8" ht="31.5">
      <c r="A302" s="177" t="s">
        <v>19</v>
      </c>
      <c r="B302" s="177" t="s">
        <v>49</v>
      </c>
      <c r="C302" s="177">
        <v>3320320060</v>
      </c>
      <c r="D302" s="177" t="s">
        <v>72</v>
      </c>
      <c r="E302" s="30" t="s">
        <v>96</v>
      </c>
      <c r="F302" s="14">
        <f>F303</f>
        <v>1072.0999999999999</v>
      </c>
      <c r="G302" s="14">
        <f t="shared" si="91"/>
        <v>0</v>
      </c>
      <c r="H302" s="14">
        <f t="shared" si="91"/>
        <v>0</v>
      </c>
    </row>
    <row r="303" spans="1:8">
      <c r="A303" s="177" t="s">
        <v>19</v>
      </c>
      <c r="B303" s="177" t="s">
        <v>49</v>
      </c>
      <c r="C303" s="177">
        <v>3320320060</v>
      </c>
      <c r="D303" s="177" t="s">
        <v>119</v>
      </c>
      <c r="E303" s="30" t="s">
        <v>120</v>
      </c>
      <c r="F303" s="14">
        <f>1917.1-845</f>
        <v>1072.0999999999999</v>
      </c>
      <c r="G303" s="14">
        <v>0</v>
      </c>
      <c r="H303" s="14">
        <v>0</v>
      </c>
    </row>
    <row r="304" spans="1:8" ht="47.25">
      <c r="A304" s="177" t="s">
        <v>19</v>
      </c>
      <c r="B304" s="177" t="s">
        <v>49</v>
      </c>
      <c r="C304" s="177">
        <v>3320400000</v>
      </c>
      <c r="D304" s="177"/>
      <c r="E304" s="178" t="s">
        <v>313</v>
      </c>
      <c r="F304" s="14">
        <f>F305</f>
        <v>11864.4</v>
      </c>
      <c r="G304" s="14">
        <f t="shared" ref="G304:H306" si="92">G305</f>
        <v>12207.4</v>
      </c>
      <c r="H304" s="14">
        <f t="shared" si="92"/>
        <v>12207.4</v>
      </c>
    </row>
    <row r="305" spans="1:8" ht="31.5">
      <c r="A305" s="177" t="s">
        <v>19</v>
      </c>
      <c r="B305" s="177" t="s">
        <v>49</v>
      </c>
      <c r="C305" s="177">
        <v>3320420010</v>
      </c>
      <c r="D305" s="177"/>
      <c r="E305" s="178" t="s">
        <v>123</v>
      </c>
      <c r="F305" s="14">
        <f>F306</f>
        <v>11864.4</v>
      </c>
      <c r="G305" s="14">
        <f t="shared" si="92"/>
        <v>12207.4</v>
      </c>
      <c r="H305" s="14">
        <f t="shared" si="92"/>
        <v>12207.4</v>
      </c>
    </row>
    <row r="306" spans="1:8" ht="31.5">
      <c r="A306" s="177" t="s">
        <v>19</v>
      </c>
      <c r="B306" s="177" t="s">
        <v>49</v>
      </c>
      <c r="C306" s="177">
        <v>3320420010</v>
      </c>
      <c r="D306" s="177">
        <v>600</v>
      </c>
      <c r="E306" s="178" t="s">
        <v>83</v>
      </c>
      <c r="F306" s="14">
        <f>F307</f>
        <v>11864.4</v>
      </c>
      <c r="G306" s="14">
        <f t="shared" si="92"/>
        <v>12207.4</v>
      </c>
      <c r="H306" s="14">
        <f t="shared" si="92"/>
        <v>12207.4</v>
      </c>
    </row>
    <row r="307" spans="1:8">
      <c r="A307" s="177" t="s">
        <v>19</v>
      </c>
      <c r="B307" s="177" t="s">
        <v>49</v>
      </c>
      <c r="C307" s="177">
        <v>3320420010</v>
      </c>
      <c r="D307" s="177">
        <v>610</v>
      </c>
      <c r="E307" s="178" t="s">
        <v>104</v>
      </c>
      <c r="F307" s="14">
        <f>12207.4+399.1-742.1</f>
        <v>11864.4</v>
      </c>
      <c r="G307" s="14">
        <v>12207.4</v>
      </c>
      <c r="H307" s="14">
        <v>12207.4</v>
      </c>
    </row>
    <row r="308" spans="1:8" ht="31.5">
      <c r="A308" s="177" t="s">
        <v>19</v>
      </c>
      <c r="B308" s="177" t="s">
        <v>49</v>
      </c>
      <c r="C308" s="177">
        <v>3320700000</v>
      </c>
      <c r="D308" s="177"/>
      <c r="E308" s="52" t="s">
        <v>476</v>
      </c>
      <c r="F308" s="14">
        <f>F309</f>
        <v>105.3</v>
      </c>
      <c r="G308" s="14">
        <f t="shared" ref="G308:H310" si="93">G309</f>
        <v>0</v>
      </c>
      <c r="H308" s="14">
        <f t="shared" si="93"/>
        <v>0</v>
      </c>
    </row>
    <row r="309" spans="1:8">
      <c r="A309" s="177" t="s">
        <v>19</v>
      </c>
      <c r="B309" s="177" t="s">
        <v>49</v>
      </c>
      <c r="C309" s="177">
        <v>3320720040</v>
      </c>
      <c r="D309" s="177"/>
      <c r="E309" s="52" t="s">
        <v>221</v>
      </c>
      <c r="F309" s="14">
        <f>F310</f>
        <v>105.3</v>
      </c>
      <c r="G309" s="14">
        <f t="shared" si="93"/>
        <v>0</v>
      </c>
      <c r="H309" s="14">
        <f t="shared" si="93"/>
        <v>0</v>
      </c>
    </row>
    <row r="310" spans="1:8" ht="31.5">
      <c r="A310" s="177" t="s">
        <v>19</v>
      </c>
      <c r="B310" s="177" t="s">
        <v>49</v>
      </c>
      <c r="C310" s="177">
        <v>3320720040</v>
      </c>
      <c r="D310" s="177" t="s">
        <v>69</v>
      </c>
      <c r="E310" s="178" t="s">
        <v>95</v>
      </c>
      <c r="F310" s="14">
        <f>F311</f>
        <v>105.3</v>
      </c>
      <c r="G310" s="14">
        <f t="shared" si="93"/>
        <v>0</v>
      </c>
      <c r="H310" s="14">
        <f t="shared" si="93"/>
        <v>0</v>
      </c>
    </row>
    <row r="311" spans="1:8" ht="31.5">
      <c r="A311" s="177" t="s">
        <v>19</v>
      </c>
      <c r="B311" s="177" t="s">
        <v>49</v>
      </c>
      <c r="C311" s="177">
        <v>3320720040</v>
      </c>
      <c r="D311" s="177">
        <v>240</v>
      </c>
      <c r="E311" s="178" t="s">
        <v>216</v>
      </c>
      <c r="F311" s="14">
        <v>105.3</v>
      </c>
      <c r="G311" s="14">
        <v>0</v>
      </c>
      <c r="H311" s="14">
        <v>0</v>
      </c>
    </row>
    <row r="312" spans="1:8" ht="31.5">
      <c r="A312" s="177" t="s">
        <v>19</v>
      </c>
      <c r="B312" s="177" t="s">
        <v>49</v>
      </c>
      <c r="C312" s="177">
        <v>3330000000</v>
      </c>
      <c r="D312" s="177"/>
      <c r="E312" s="178" t="s">
        <v>263</v>
      </c>
      <c r="F312" s="14">
        <f>F313</f>
        <v>4084.1000000000004</v>
      </c>
      <c r="G312" s="14">
        <f t="shared" ref="G312:H315" si="94">G313</f>
        <v>953.1</v>
      </c>
      <c r="H312" s="14">
        <f t="shared" si="94"/>
        <v>232.5</v>
      </c>
    </row>
    <row r="313" spans="1:8" ht="47.25">
      <c r="A313" s="177" t="s">
        <v>19</v>
      </c>
      <c r="B313" s="177" t="s">
        <v>49</v>
      </c>
      <c r="C313" s="177">
        <v>3330100000</v>
      </c>
      <c r="D313" s="177"/>
      <c r="E313" s="178" t="s">
        <v>208</v>
      </c>
      <c r="F313" s="14">
        <f>F314+F317</f>
        <v>4084.1000000000004</v>
      </c>
      <c r="G313" s="14">
        <f>G314+G317</f>
        <v>953.1</v>
      </c>
      <c r="H313" s="14">
        <f>H314+H317</f>
        <v>232.5</v>
      </c>
    </row>
    <row r="314" spans="1:8" ht="31.5">
      <c r="A314" s="177" t="s">
        <v>19</v>
      </c>
      <c r="B314" s="177" t="s">
        <v>49</v>
      </c>
      <c r="C314" s="177">
        <v>3330120090</v>
      </c>
      <c r="D314" s="177"/>
      <c r="E314" s="178" t="s">
        <v>261</v>
      </c>
      <c r="F314" s="14">
        <f>F315</f>
        <v>1426.2</v>
      </c>
      <c r="G314" s="14">
        <f t="shared" si="94"/>
        <v>455.5</v>
      </c>
      <c r="H314" s="14">
        <f t="shared" si="94"/>
        <v>0</v>
      </c>
    </row>
    <row r="315" spans="1:8" ht="31.5">
      <c r="A315" s="177" t="s">
        <v>19</v>
      </c>
      <c r="B315" s="177" t="s">
        <v>49</v>
      </c>
      <c r="C315" s="177">
        <v>3330120090</v>
      </c>
      <c r="D315" s="177" t="s">
        <v>69</v>
      </c>
      <c r="E315" s="178" t="s">
        <v>95</v>
      </c>
      <c r="F315" s="14">
        <f>F316</f>
        <v>1426.2</v>
      </c>
      <c r="G315" s="14">
        <f t="shared" si="94"/>
        <v>455.5</v>
      </c>
      <c r="H315" s="14">
        <f t="shared" si="94"/>
        <v>0</v>
      </c>
    </row>
    <row r="316" spans="1:8" ht="31.5">
      <c r="A316" s="177" t="s">
        <v>19</v>
      </c>
      <c r="B316" s="177" t="s">
        <v>49</v>
      </c>
      <c r="C316" s="177">
        <v>3330120090</v>
      </c>
      <c r="D316" s="177">
        <v>240</v>
      </c>
      <c r="E316" s="178" t="s">
        <v>216</v>
      </c>
      <c r="F316" s="14">
        <v>1426.2</v>
      </c>
      <c r="G316" s="14">
        <f>500-20-24.5</f>
        <v>455.5</v>
      </c>
      <c r="H316" s="14">
        <v>0</v>
      </c>
    </row>
    <row r="317" spans="1:8">
      <c r="A317" s="177" t="s">
        <v>19</v>
      </c>
      <c r="B317" s="177" t="s">
        <v>49</v>
      </c>
      <c r="C317" s="177">
        <v>3330120100</v>
      </c>
      <c r="D317" s="50"/>
      <c r="E317" s="22" t="s">
        <v>262</v>
      </c>
      <c r="F317" s="14">
        <f t="shared" ref="F317:H318" si="95">F318</f>
        <v>2657.9</v>
      </c>
      <c r="G317" s="14">
        <f t="shared" si="95"/>
        <v>497.6</v>
      </c>
      <c r="H317" s="14">
        <f t="shared" si="95"/>
        <v>232.5</v>
      </c>
    </row>
    <row r="318" spans="1:8" ht="31.5">
      <c r="A318" s="177" t="s">
        <v>19</v>
      </c>
      <c r="B318" s="177" t="s">
        <v>49</v>
      </c>
      <c r="C318" s="177">
        <v>3330120100</v>
      </c>
      <c r="D318" s="177" t="s">
        <v>69</v>
      </c>
      <c r="E318" s="178" t="s">
        <v>95</v>
      </c>
      <c r="F318" s="14">
        <f t="shared" si="95"/>
        <v>2657.9</v>
      </c>
      <c r="G318" s="14">
        <f t="shared" si="95"/>
        <v>497.6</v>
      </c>
      <c r="H318" s="14">
        <f t="shared" si="95"/>
        <v>232.5</v>
      </c>
    </row>
    <row r="319" spans="1:8" ht="31.5">
      <c r="A319" s="177" t="s">
        <v>19</v>
      </c>
      <c r="B319" s="177" t="s">
        <v>49</v>
      </c>
      <c r="C319" s="177">
        <v>3330120100</v>
      </c>
      <c r="D319" s="177">
        <v>240</v>
      </c>
      <c r="E319" s="178" t="s">
        <v>216</v>
      </c>
      <c r="F319" s="14">
        <f>1097.9-440+2000</f>
        <v>2657.9</v>
      </c>
      <c r="G319" s="14">
        <v>497.6</v>
      </c>
      <c r="H319" s="14">
        <v>232.5</v>
      </c>
    </row>
    <row r="320" spans="1:8">
      <c r="A320" s="177" t="s">
        <v>19</v>
      </c>
      <c r="B320" s="58" t="s">
        <v>296</v>
      </c>
      <c r="C320" s="177"/>
      <c r="D320" s="177"/>
      <c r="E320" s="178" t="s">
        <v>297</v>
      </c>
      <c r="F320" s="14">
        <f>F321+F335</f>
        <v>18622.599999999999</v>
      </c>
      <c r="G320" s="14">
        <f>G321+G335</f>
        <v>10737</v>
      </c>
      <c r="H320" s="14">
        <f>H321+H335</f>
        <v>10737</v>
      </c>
    </row>
    <row r="321" spans="1:8" ht="47.25">
      <c r="A321" s="177" t="s">
        <v>19</v>
      </c>
      <c r="B321" s="58" t="s">
        <v>296</v>
      </c>
      <c r="C321" s="177">
        <v>3300000000</v>
      </c>
      <c r="D321" s="177"/>
      <c r="E321" s="178" t="s">
        <v>341</v>
      </c>
      <c r="F321" s="14">
        <f t="shared" ref="F321:H325" si="96">F322</f>
        <v>17476</v>
      </c>
      <c r="G321" s="14">
        <f t="shared" si="96"/>
        <v>7734.2</v>
      </c>
      <c r="H321" s="14">
        <f t="shared" si="96"/>
        <v>7734.2</v>
      </c>
    </row>
    <row r="322" spans="1:8">
      <c r="A322" s="177" t="s">
        <v>19</v>
      </c>
      <c r="B322" s="58" t="s">
        <v>296</v>
      </c>
      <c r="C322" s="177">
        <v>3320000000</v>
      </c>
      <c r="D322" s="177"/>
      <c r="E322" s="178" t="s">
        <v>176</v>
      </c>
      <c r="F322" s="14">
        <f>F323+F331+F327</f>
        <v>17476</v>
      </c>
      <c r="G322" s="14">
        <f>G323+G331+G327</f>
        <v>7734.2</v>
      </c>
      <c r="H322" s="14">
        <f>H323+H331+H327</f>
        <v>7734.2</v>
      </c>
    </row>
    <row r="323" spans="1:8" ht="47.25">
      <c r="A323" s="177" t="s">
        <v>19</v>
      </c>
      <c r="B323" s="58" t="s">
        <v>296</v>
      </c>
      <c r="C323" s="177">
        <v>3320400000</v>
      </c>
      <c r="D323" s="177"/>
      <c r="E323" s="178" t="s">
        <v>313</v>
      </c>
      <c r="F323" s="14">
        <f>F324</f>
        <v>11698.2</v>
      </c>
      <c r="G323" s="14">
        <f t="shared" si="96"/>
        <v>7734.2</v>
      </c>
      <c r="H323" s="14">
        <f t="shared" si="96"/>
        <v>7734.2</v>
      </c>
    </row>
    <row r="324" spans="1:8" ht="31.5">
      <c r="A324" s="177" t="s">
        <v>19</v>
      </c>
      <c r="B324" s="58" t="s">
        <v>296</v>
      </c>
      <c r="C324" s="177">
        <v>3320420010</v>
      </c>
      <c r="D324" s="177"/>
      <c r="E324" s="22" t="s">
        <v>123</v>
      </c>
      <c r="F324" s="14">
        <f t="shared" si="96"/>
        <v>11698.2</v>
      </c>
      <c r="G324" s="14">
        <f t="shared" si="96"/>
        <v>7734.2</v>
      </c>
      <c r="H324" s="14">
        <f t="shared" si="96"/>
        <v>7734.2</v>
      </c>
    </row>
    <row r="325" spans="1:8" ht="31.5">
      <c r="A325" s="177" t="s">
        <v>19</v>
      </c>
      <c r="B325" s="58" t="s">
        <v>296</v>
      </c>
      <c r="C325" s="177">
        <v>3320420010</v>
      </c>
      <c r="D325" s="177" t="s">
        <v>97</v>
      </c>
      <c r="E325" s="178" t="s">
        <v>98</v>
      </c>
      <c r="F325" s="14">
        <f t="shared" si="96"/>
        <v>11698.2</v>
      </c>
      <c r="G325" s="14">
        <f t="shared" si="96"/>
        <v>7734.2</v>
      </c>
      <c r="H325" s="14">
        <f t="shared" si="96"/>
        <v>7734.2</v>
      </c>
    </row>
    <row r="326" spans="1:8">
      <c r="A326" s="177" t="s">
        <v>19</v>
      </c>
      <c r="B326" s="58" t="s">
        <v>296</v>
      </c>
      <c r="C326" s="177">
        <v>3320420010</v>
      </c>
      <c r="D326" s="177">
        <v>610</v>
      </c>
      <c r="E326" s="178" t="s">
        <v>104</v>
      </c>
      <c r="F326" s="14">
        <f>7734.2+1491.9+350+2122.1</f>
        <v>11698.2</v>
      </c>
      <c r="G326" s="14">
        <v>7734.2</v>
      </c>
      <c r="H326" s="14">
        <v>7734.2</v>
      </c>
    </row>
    <row r="327" spans="1:8" ht="63">
      <c r="A327" s="177" t="s">
        <v>19</v>
      </c>
      <c r="B327" s="58" t="s">
        <v>296</v>
      </c>
      <c r="C327" s="177">
        <v>3320500000</v>
      </c>
      <c r="D327" s="177"/>
      <c r="E327" s="178" t="s">
        <v>482</v>
      </c>
      <c r="F327" s="14">
        <f>F328</f>
        <v>5678.8</v>
      </c>
      <c r="G327" s="14">
        <f t="shared" ref="G327:H329" si="97">G328</f>
        <v>0</v>
      </c>
      <c r="H327" s="14">
        <f t="shared" si="97"/>
        <v>0</v>
      </c>
    </row>
    <row r="328" spans="1:8" ht="31.5">
      <c r="A328" s="177" t="s">
        <v>19</v>
      </c>
      <c r="B328" s="58" t="s">
        <v>296</v>
      </c>
      <c r="C328" s="177">
        <v>3320520020</v>
      </c>
      <c r="D328" s="177"/>
      <c r="E328" s="33" t="s">
        <v>319</v>
      </c>
      <c r="F328" s="14">
        <f>F329</f>
        <v>5678.8</v>
      </c>
      <c r="G328" s="14">
        <f t="shared" si="97"/>
        <v>0</v>
      </c>
      <c r="H328" s="14">
        <f t="shared" si="97"/>
        <v>0</v>
      </c>
    </row>
    <row r="329" spans="1:8" ht="31.5">
      <c r="A329" s="177" t="s">
        <v>19</v>
      </c>
      <c r="B329" s="58" t="s">
        <v>296</v>
      </c>
      <c r="C329" s="177">
        <v>3320520020</v>
      </c>
      <c r="D329" s="177" t="s">
        <v>97</v>
      </c>
      <c r="E329" s="178" t="s">
        <v>98</v>
      </c>
      <c r="F329" s="14">
        <f>F330</f>
        <v>5678.8</v>
      </c>
      <c r="G329" s="14">
        <f t="shared" si="97"/>
        <v>0</v>
      </c>
      <c r="H329" s="14">
        <f t="shared" si="97"/>
        <v>0</v>
      </c>
    </row>
    <row r="330" spans="1:8">
      <c r="A330" s="177" t="s">
        <v>19</v>
      </c>
      <c r="B330" s="58" t="s">
        <v>296</v>
      </c>
      <c r="C330" s="177">
        <v>3320520020</v>
      </c>
      <c r="D330" s="177">
        <v>610</v>
      </c>
      <c r="E330" s="178" t="s">
        <v>104</v>
      </c>
      <c r="F330" s="14">
        <v>5678.8</v>
      </c>
      <c r="G330" s="14">
        <v>0</v>
      </c>
      <c r="H330" s="14">
        <v>0</v>
      </c>
    </row>
    <row r="331" spans="1:8" ht="47.25">
      <c r="A331" s="177" t="s">
        <v>19</v>
      </c>
      <c r="B331" s="58" t="s">
        <v>296</v>
      </c>
      <c r="C331" s="177">
        <v>3320600000</v>
      </c>
      <c r="D331" s="177"/>
      <c r="E331" s="178" t="s">
        <v>393</v>
      </c>
      <c r="F331" s="14">
        <f>F332</f>
        <v>99</v>
      </c>
      <c r="G331" s="14">
        <f t="shared" ref="G331:G333" si="98">G332</f>
        <v>0</v>
      </c>
      <c r="H331" s="14">
        <f t="shared" ref="H331:H333" si="99">H332</f>
        <v>0</v>
      </c>
    </row>
    <row r="332" spans="1:8" ht="31.5">
      <c r="A332" s="177" t="s">
        <v>19</v>
      </c>
      <c r="B332" s="58" t="s">
        <v>296</v>
      </c>
      <c r="C332" s="177">
        <v>3320620030</v>
      </c>
      <c r="D332" s="177"/>
      <c r="E332" s="178" t="s">
        <v>282</v>
      </c>
      <c r="F332" s="14">
        <f>F333</f>
        <v>99</v>
      </c>
      <c r="G332" s="14">
        <f t="shared" si="98"/>
        <v>0</v>
      </c>
      <c r="H332" s="14">
        <f t="shared" si="99"/>
        <v>0</v>
      </c>
    </row>
    <row r="333" spans="1:8" ht="31.5">
      <c r="A333" s="177" t="s">
        <v>19</v>
      </c>
      <c r="B333" s="58" t="s">
        <v>296</v>
      </c>
      <c r="C333" s="177">
        <v>3320620030</v>
      </c>
      <c r="D333" s="177">
        <v>600</v>
      </c>
      <c r="E333" s="178" t="s">
        <v>83</v>
      </c>
      <c r="F333" s="14">
        <f>F334</f>
        <v>99</v>
      </c>
      <c r="G333" s="14">
        <f t="shared" si="98"/>
        <v>0</v>
      </c>
      <c r="H333" s="14">
        <f t="shared" si="99"/>
        <v>0</v>
      </c>
    </row>
    <row r="334" spans="1:8">
      <c r="A334" s="177" t="s">
        <v>19</v>
      </c>
      <c r="B334" s="58" t="s">
        <v>296</v>
      </c>
      <c r="C334" s="177">
        <v>3320620030</v>
      </c>
      <c r="D334" s="177">
        <v>610</v>
      </c>
      <c r="E334" s="178" t="s">
        <v>104</v>
      </c>
      <c r="F334" s="14">
        <v>99</v>
      </c>
      <c r="G334" s="14">
        <v>0</v>
      </c>
      <c r="H334" s="14">
        <v>0</v>
      </c>
    </row>
    <row r="335" spans="1:8" ht="31.5">
      <c r="A335" s="177" t="s">
        <v>19</v>
      </c>
      <c r="B335" s="58" t="s">
        <v>296</v>
      </c>
      <c r="C335" s="177">
        <v>3500000000</v>
      </c>
      <c r="D335" s="177"/>
      <c r="E335" s="178" t="s">
        <v>330</v>
      </c>
      <c r="F335" s="14">
        <f>F336</f>
        <v>1146.5999999999999</v>
      </c>
      <c r="G335" s="14">
        <f t="shared" ref="G335:H335" si="100">G336</f>
        <v>3002.7999999999997</v>
      </c>
      <c r="H335" s="14">
        <f t="shared" si="100"/>
        <v>3002.7999999999997</v>
      </c>
    </row>
    <row r="336" spans="1:8" ht="31.5">
      <c r="A336" s="177" t="s">
        <v>19</v>
      </c>
      <c r="B336" s="58" t="s">
        <v>296</v>
      </c>
      <c r="C336" s="177">
        <v>3520000000</v>
      </c>
      <c r="D336" s="177"/>
      <c r="E336" s="178" t="s">
        <v>228</v>
      </c>
      <c r="F336" s="14">
        <f>F337+F341+F345</f>
        <v>1146.5999999999999</v>
      </c>
      <c r="G336" s="14">
        <f t="shared" ref="G336:H336" si="101">G337+G341+G345</f>
        <v>3002.7999999999997</v>
      </c>
      <c r="H336" s="14">
        <f t="shared" si="101"/>
        <v>3002.7999999999997</v>
      </c>
    </row>
    <row r="337" spans="1:8" ht="31.5">
      <c r="A337" s="177" t="s">
        <v>19</v>
      </c>
      <c r="B337" s="58" t="s">
        <v>296</v>
      </c>
      <c r="C337" s="177">
        <v>3520300000</v>
      </c>
      <c r="D337" s="177"/>
      <c r="E337" s="30" t="s">
        <v>264</v>
      </c>
      <c r="F337" s="14">
        <f>F338</f>
        <v>34.9</v>
      </c>
      <c r="G337" s="14">
        <f t="shared" ref="G337:H339" si="102">G338</f>
        <v>34.9</v>
      </c>
      <c r="H337" s="14">
        <f t="shared" si="102"/>
        <v>34.9</v>
      </c>
    </row>
    <row r="338" spans="1:8">
      <c r="A338" s="177" t="s">
        <v>19</v>
      </c>
      <c r="B338" s="58" t="s">
        <v>296</v>
      </c>
      <c r="C338" s="177">
        <v>3520320300</v>
      </c>
      <c r="D338" s="177"/>
      <c r="E338" s="30" t="s">
        <v>265</v>
      </c>
      <c r="F338" s="14">
        <f>F339</f>
        <v>34.9</v>
      </c>
      <c r="G338" s="14">
        <f t="shared" si="102"/>
        <v>34.9</v>
      </c>
      <c r="H338" s="14">
        <f t="shared" si="102"/>
        <v>34.9</v>
      </c>
    </row>
    <row r="339" spans="1:8" ht="31.5">
      <c r="A339" s="177" t="s">
        <v>19</v>
      </c>
      <c r="B339" s="58" t="s">
        <v>296</v>
      </c>
      <c r="C339" s="177">
        <v>3520320300</v>
      </c>
      <c r="D339" s="177" t="s">
        <v>97</v>
      </c>
      <c r="E339" s="30" t="s">
        <v>98</v>
      </c>
      <c r="F339" s="14">
        <f>F340</f>
        <v>34.9</v>
      </c>
      <c r="G339" s="14">
        <f t="shared" si="102"/>
        <v>34.9</v>
      </c>
      <c r="H339" s="14">
        <f t="shared" si="102"/>
        <v>34.9</v>
      </c>
    </row>
    <row r="340" spans="1:8">
      <c r="A340" s="177" t="s">
        <v>19</v>
      </c>
      <c r="B340" s="58" t="s">
        <v>296</v>
      </c>
      <c r="C340" s="177">
        <v>3520320300</v>
      </c>
      <c r="D340" s="177">
        <v>610</v>
      </c>
      <c r="E340" s="30" t="s">
        <v>104</v>
      </c>
      <c r="F340" s="14">
        <v>34.9</v>
      </c>
      <c r="G340" s="14">
        <v>34.9</v>
      </c>
      <c r="H340" s="14">
        <v>34.9</v>
      </c>
    </row>
    <row r="341" spans="1:8" ht="31.5">
      <c r="A341" s="177" t="s">
        <v>19</v>
      </c>
      <c r="B341" s="58" t="s">
        <v>296</v>
      </c>
      <c r="C341" s="177">
        <v>3520400000</v>
      </c>
      <c r="D341" s="177"/>
      <c r="E341" s="178" t="s">
        <v>270</v>
      </c>
      <c r="F341" s="14">
        <f>F342</f>
        <v>376.5</v>
      </c>
      <c r="G341" s="14">
        <f t="shared" ref="G341:H343" si="103">G342</f>
        <v>341.7</v>
      </c>
      <c r="H341" s="14">
        <f t="shared" si="103"/>
        <v>341.7</v>
      </c>
    </row>
    <row r="342" spans="1:8">
      <c r="A342" s="177" t="s">
        <v>19</v>
      </c>
      <c r="B342" s="58" t="s">
        <v>296</v>
      </c>
      <c r="C342" s="177">
        <v>3520420300</v>
      </c>
      <c r="D342" s="177"/>
      <c r="E342" s="178" t="s">
        <v>271</v>
      </c>
      <c r="F342" s="14">
        <f>F343</f>
        <v>376.5</v>
      </c>
      <c r="G342" s="14">
        <f t="shared" si="103"/>
        <v>341.7</v>
      </c>
      <c r="H342" s="14">
        <f t="shared" si="103"/>
        <v>341.7</v>
      </c>
    </row>
    <row r="343" spans="1:8" ht="31.5">
      <c r="A343" s="177" t="s">
        <v>19</v>
      </c>
      <c r="B343" s="58" t="s">
        <v>296</v>
      </c>
      <c r="C343" s="177">
        <v>3520420300</v>
      </c>
      <c r="D343" s="177" t="s">
        <v>97</v>
      </c>
      <c r="E343" s="30" t="s">
        <v>98</v>
      </c>
      <c r="F343" s="14">
        <f>F344</f>
        <v>376.5</v>
      </c>
      <c r="G343" s="14">
        <f t="shared" si="103"/>
        <v>341.7</v>
      </c>
      <c r="H343" s="14">
        <f t="shared" si="103"/>
        <v>341.7</v>
      </c>
    </row>
    <row r="344" spans="1:8">
      <c r="A344" s="177" t="s">
        <v>19</v>
      </c>
      <c r="B344" s="58" t="s">
        <v>296</v>
      </c>
      <c r="C344" s="177">
        <v>3520420300</v>
      </c>
      <c r="D344" s="177">
        <v>610</v>
      </c>
      <c r="E344" s="30" t="s">
        <v>104</v>
      </c>
      <c r="F344" s="14">
        <v>376.5</v>
      </c>
      <c r="G344" s="14">
        <v>341.7</v>
      </c>
      <c r="H344" s="14">
        <v>341.7</v>
      </c>
    </row>
    <row r="345" spans="1:8" ht="31.5">
      <c r="A345" s="177" t="s">
        <v>19</v>
      </c>
      <c r="B345" s="58" t="s">
        <v>296</v>
      </c>
      <c r="C345" s="177">
        <v>3520500000</v>
      </c>
      <c r="D345" s="177"/>
      <c r="E345" s="178" t="s">
        <v>269</v>
      </c>
      <c r="F345" s="14">
        <f>F346</f>
        <v>735.19999999999982</v>
      </c>
      <c r="G345" s="14">
        <f t="shared" ref="G345:H347" si="104">G346</f>
        <v>2626.2</v>
      </c>
      <c r="H345" s="14">
        <f t="shared" si="104"/>
        <v>2626.2</v>
      </c>
    </row>
    <row r="346" spans="1:8">
      <c r="A346" s="177" t="s">
        <v>19</v>
      </c>
      <c r="B346" s="58" t="s">
        <v>296</v>
      </c>
      <c r="C346" s="177">
        <v>3520520200</v>
      </c>
      <c r="D346" s="177"/>
      <c r="E346" s="178" t="s">
        <v>252</v>
      </c>
      <c r="F346" s="14">
        <f>F347</f>
        <v>735.19999999999982</v>
      </c>
      <c r="G346" s="14">
        <f t="shared" si="104"/>
        <v>2626.2</v>
      </c>
      <c r="H346" s="14">
        <f t="shared" si="104"/>
        <v>2626.2</v>
      </c>
    </row>
    <row r="347" spans="1:8" ht="31.5">
      <c r="A347" s="177" t="s">
        <v>19</v>
      </c>
      <c r="B347" s="58" t="s">
        <v>296</v>
      </c>
      <c r="C347" s="177">
        <v>3520520200</v>
      </c>
      <c r="D347" s="177" t="s">
        <v>97</v>
      </c>
      <c r="E347" s="30" t="s">
        <v>98</v>
      </c>
      <c r="F347" s="14">
        <f>F348</f>
        <v>735.19999999999982</v>
      </c>
      <c r="G347" s="14">
        <f t="shared" si="104"/>
        <v>2626.2</v>
      </c>
      <c r="H347" s="14">
        <f t="shared" si="104"/>
        <v>2626.2</v>
      </c>
    </row>
    <row r="348" spans="1:8">
      <c r="A348" s="177" t="s">
        <v>19</v>
      </c>
      <c r="B348" s="58" t="s">
        <v>296</v>
      </c>
      <c r="C348" s="177">
        <v>3520520200</v>
      </c>
      <c r="D348" s="177">
        <v>610</v>
      </c>
      <c r="E348" s="30" t="s">
        <v>104</v>
      </c>
      <c r="F348" s="14">
        <f>2626.2-1891</f>
        <v>735.19999999999982</v>
      </c>
      <c r="G348" s="14">
        <v>2626.2</v>
      </c>
      <c r="H348" s="14">
        <v>2626.2</v>
      </c>
    </row>
    <row r="349" spans="1:8">
      <c r="A349" s="177" t="s">
        <v>19</v>
      </c>
      <c r="B349" s="177" t="s">
        <v>37</v>
      </c>
      <c r="C349" s="177" t="s">
        <v>66</v>
      </c>
      <c r="D349" s="177" t="s">
        <v>66</v>
      </c>
      <c r="E349" s="178" t="s">
        <v>29</v>
      </c>
      <c r="F349" s="14">
        <f>F402+F440+F433+F350+F380</f>
        <v>249159.3</v>
      </c>
      <c r="G349" s="14">
        <f>G402+G440+G433+G350+G380</f>
        <v>120613.1</v>
      </c>
      <c r="H349" s="14">
        <f>H402+H440+H433+H350+H380</f>
        <v>38643.9</v>
      </c>
    </row>
    <row r="350" spans="1:8">
      <c r="A350" s="177" t="s">
        <v>19</v>
      </c>
      <c r="B350" s="179" t="s">
        <v>50</v>
      </c>
      <c r="C350" s="179" t="s">
        <v>66</v>
      </c>
      <c r="D350" s="132" t="s">
        <v>66</v>
      </c>
      <c r="E350" s="178" t="s">
        <v>10</v>
      </c>
      <c r="F350" s="14">
        <f>F351+F367</f>
        <v>119581.90000000001</v>
      </c>
      <c r="G350" s="14">
        <f t="shared" ref="G350:H350" si="105">G351</f>
        <v>0</v>
      </c>
      <c r="H350" s="14">
        <f t="shared" si="105"/>
        <v>0</v>
      </c>
    </row>
    <row r="351" spans="1:8" ht="47.25">
      <c r="A351" s="177" t="s">
        <v>19</v>
      </c>
      <c r="B351" s="177" t="s">
        <v>50</v>
      </c>
      <c r="C351" s="177">
        <v>3100000000</v>
      </c>
      <c r="D351" s="177"/>
      <c r="E351" s="178" t="s">
        <v>328</v>
      </c>
      <c r="F351" s="14">
        <f>F352</f>
        <v>108676.1</v>
      </c>
      <c r="G351" s="14">
        <f t="shared" ref="G351:H351" si="106">G352</f>
        <v>0</v>
      </c>
      <c r="H351" s="14">
        <f t="shared" si="106"/>
        <v>0</v>
      </c>
    </row>
    <row r="352" spans="1:8">
      <c r="A352" s="177" t="s">
        <v>19</v>
      </c>
      <c r="B352" s="177" t="s">
        <v>50</v>
      </c>
      <c r="C352" s="177">
        <v>3110000000</v>
      </c>
      <c r="D352" s="177"/>
      <c r="E352" s="178" t="s">
        <v>163</v>
      </c>
      <c r="F352" s="14">
        <f>F353+F363</f>
        <v>108676.1</v>
      </c>
      <c r="G352" s="14">
        <f>G353+G363</f>
        <v>0</v>
      </c>
      <c r="H352" s="14">
        <f>H353+H363</f>
        <v>0</v>
      </c>
    </row>
    <row r="353" spans="1:8" ht="78.75">
      <c r="A353" s="177" t="s">
        <v>19</v>
      </c>
      <c r="B353" s="58" t="s">
        <v>50</v>
      </c>
      <c r="C353" s="177">
        <v>3110500000</v>
      </c>
      <c r="D353" s="177"/>
      <c r="E353" s="178" t="s">
        <v>229</v>
      </c>
      <c r="F353" s="14">
        <f>F354+F357+F360</f>
        <v>104552.1</v>
      </c>
      <c r="G353" s="14">
        <f t="shared" ref="G353:H353" si="107">G354+G357+G360</f>
        <v>0</v>
      </c>
      <c r="H353" s="14">
        <f t="shared" si="107"/>
        <v>0</v>
      </c>
    </row>
    <row r="354" spans="1:8" ht="31.5">
      <c r="A354" s="177" t="s">
        <v>19</v>
      </c>
      <c r="B354" s="48" t="s">
        <v>50</v>
      </c>
      <c r="C354" s="177" t="s">
        <v>383</v>
      </c>
      <c r="D354" s="177"/>
      <c r="E354" s="22" t="s">
        <v>394</v>
      </c>
      <c r="F354" s="14">
        <f>F355</f>
        <v>16672.999999999996</v>
      </c>
      <c r="G354" s="14">
        <f t="shared" ref="G354:H355" si="108">G355</f>
        <v>0</v>
      </c>
      <c r="H354" s="14">
        <f t="shared" si="108"/>
        <v>0</v>
      </c>
    </row>
    <row r="355" spans="1:8" ht="31.5">
      <c r="A355" s="177" t="s">
        <v>19</v>
      </c>
      <c r="B355" s="48" t="s">
        <v>50</v>
      </c>
      <c r="C355" s="177" t="s">
        <v>383</v>
      </c>
      <c r="D355" s="177" t="s">
        <v>69</v>
      </c>
      <c r="E355" s="178" t="s">
        <v>95</v>
      </c>
      <c r="F355" s="14">
        <f>F356</f>
        <v>16672.999999999996</v>
      </c>
      <c r="G355" s="14">
        <f t="shared" si="108"/>
        <v>0</v>
      </c>
      <c r="H355" s="14">
        <f t="shared" si="108"/>
        <v>0</v>
      </c>
    </row>
    <row r="356" spans="1:8" ht="31.5">
      <c r="A356" s="177" t="s">
        <v>19</v>
      </c>
      <c r="B356" s="48" t="s">
        <v>50</v>
      </c>
      <c r="C356" s="177" t="s">
        <v>383</v>
      </c>
      <c r="D356" s="177">
        <v>240</v>
      </c>
      <c r="E356" s="178" t="s">
        <v>216</v>
      </c>
      <c r="F356" s="14">
        <f>19098.9+4774.8-5277.6-1319.4-120.8-483+0.1</f>
        <v>16672.999999999996</v>
      </c>
      <c r="G356" s="14">
        <v>0</v>
      </c>
      <c r="H356" s="14">
        <v>0</v>
      </c>
    </row>
    <row r="357" spans="1:8" ht="31.5">
      <c r="A357" s="177" t="s">
        <v>19</v>
      </c>
      <c r="B357" s="48" t="s">
        <v>50</v>
      </c>
      <c r="C357" s="177" t="s">
        <v>425</v>
      </c>
      <c r="D357" s="177"/>
      <c r="E357" s="178" t="s">
        <v>426</v>
      </c>
      <c r="F357" s="64">
        <f>F358</f>
        <v>67100</v>
      </c>
      <c r="G357" s="64">
        <f t="shared" ref="G357:H358" si="109">G358</f>
        <v>0</v>
      </c>
      <c r="H357" s="64">
        <f t="shared" si="109"/>
        <v>0</v>
      </c>
    </row>
    <row r="358" spans="1:8" ht="31.5">
      <c r="A358" s="177" t="s">
        <v>19</v>
      </c>
      <c r="B358" s="48" t="s">
        <v>50</v>
      </c>
      <c r="C358" s="177" t="s">
        <v>425</v>
      </c>
      <c r="D358" s="177" t="s">
        <v>69</v>
      </c>
      <c r="E358" s="178" t="s">
        <v>95</v>
      </c>
      <c r="F358" s="64">
        <f>F359</f>
        <v>67100</v>
      </c>
      <c r="G358" s="64">
        <f t="shared" si="109"/>
        <v>0</v>
      </c>
      <c r="H358" s="64">
        <f t="shared" si="109"/>
        <v>0</v>
      </c>
    </row>
    <row r="359" spans="1:8" ht="31.5">
      <c r="A359" s="177" t="s">
        <v>19</v>
      </c>
      <c r="B359" s="48" t="s">
        <v>50</v>
      </c>
      <c r="C359" s="177" t="s">
        <v>425</v>
      </c>
      <c r="D359" s="177">
        <v>240</v>
      </c>
      <c r="E359" s="178" t="s">
        <v>216</v>
      </c>
      <c r="F359" s="64">
        <f>60390+6710</f>
        <v>67100</v>
      </c>
      <c r="G359" s="64">
        <v>0</v>
      </c>
      <c r="H359" s="64">
        <v>0</v>
      </c>
    </row>
    <row r="360" spans="1:8" ht="31.5">
      <c r="A360" s="177" t="s">
        <v>19</v>
      </c>
      <c r="B360" s="48" t="s">
        <v>50</v>
      </c>
      <c r="C360" s="177" t="s">
        <v>436</v>
      </c>
      <c r="D360" s="177"/>
      <c r="E360" s="178" t="s">
        <v>437</v>
      </c>
      <c r="F360" s="64">
        <f>F361</f>
        <v>20779.099999999999</v>
      </c>
      <c r="G360" s="64">
        <f t="shared" ref="G360:H361" si="110">G361</f>
        <v>0</v>
      </c>
      <c r="H360" s="64">
        <f t="shared" si="110"/>
        <v>0</v>
      </c>
    </row>
    <row r="361" spans="1:8" ht="31.5">
      <c r="A361" s="177" t="s">
        <v>19</v>
      </c>
      <c r="B361" s="48" t="s">
        <v>50</v>
      </c>
      <c r="C361" s="177" t="s">
        <v>436</v>
      </c>
      <c r="D361" s="177" t="s">
        <v>69</v>
      </c>
      <c r="E361" s="178" t="s">
        <v>95</v>
      </c>
      <c r="F361" s="64">
        <f>F362</f>
        <v>20779.099999999999</v>
      </c>
      <c r="G361" s="64">
        <f t="shared" si="110"/>
        <v>0</v>
      </c>
      <c r="H361" s="64">
        <f t="shared" si="110"/>
        <v>0</v>
      </c>
    </row>
    <row r="362" spans="1:8" ht="31.5">
      <c r="A362" s="177" t="s">
        <v>19</v>
      </c>
      <c r="B362" s="48" t="s">
        <v>50</v>
      </c>
      <c r="C362" s="177" t="s">
        <v>436</v>
      </c>
      <c r="D362" s="177">
        <v>240</v>
      </c>
      <c r="E362" s="178" t="s">
        <v>216</v>
      </c>
      <c r="F362" s="64">
        <v>20779.099999999999</v>
      </c>
      <c r="G362" s="64">
        <v>0</v>
      </c>
      <c r="H362" s="64">
        <v>0</v>
      </c>
    </row>
    <row r="363" spans="1:8" ht="63">
      <c r="A363" s="177" t="s">
        <v>19</v>
      </c>
      <c r="B363" s="48" t="s">
        <v>50</v>
      </c>
      <c r="C363" s="177">
        <v>3111000000</v>
      </c>
      <c r="D363" s="177"/>
      <c r="E363" s="178" t="s">
        <v>429</v>
      </c>
      <c r="F363" s="64">
        <f>F364</f>
        <v>4124</v>
      </c>
      <c r="G363" s="64">
        <f>G364</f>
        <v>0</v>
      </c>
      <c r="H363" s="64">
        <f>H364</f>
        <v>0</v>
      </c>
    </row>
    <row r="364" spans="1:8" ht="47.25">
      <c r="A364" s="177" t="s">
        <v>19</v>
      </c>
      <c r="B364" s="48" t="s">
        <v>50</v>
      </c>
      <c r="C364" s="177" t="s">
        <v>427</v>
      </c>
      <c r="D364" s="177"/>
      <c r="E364" s="178" t="s">
        <v>428</v>
      </c>
      <c r="F364" s="64">
        <f>F365</f>
        <v>4124</v>
      </c>
      <c r="G364" s="64">
        <f t="shared" ref="G364:H364" si="111">G365</f>
        <v>0</v>
      </c>
      <c r="H364" s="64">
        <f t="shared" si="111"/>
        <v>0</v>
      </c>
    </row>
    <row r="365" spans="1:8" ht="31.5">
      <c r="A365" s="177" t="s">
        <v>19</v>
      </c>
      <c r="B365" s="48" t="s">
        <v>50</v>
      </c>
      <c r="C365" s="177" t="s">
        <v>427</v>
      </c>
      <c r="D365" s="177" t="s">
        <v>69</v>
      </c>
      <c r="E365" s="178" t="s">
        <v>95</v>
      </c>
      <c r="F365" s="64">
        <f>F366</f>
        <v>4124</v>
      </c>
      <c r="G365" s="64">
        <f t="shared" ref="G365:H365" si="112">G366</f>
        <v>0</v>
      </c>
      <c r="H365" s="64">
        <f t="shared" si="112"/>
        <v>0</v>
      </c>
    </row>
    <row r="366" spans="1:8" ht="31.5">
      <c r="A366" s="177" t="s">
        <v>19</v>
      </c>
      <c r="B366" s="48" t="s">
        <v>50</v>
      </c>
      <c r="C366" s="177" t="s">
        <v>427</v>
      </c>
      <c r="D366" s="177">
        <v>240</v>
      </c>
      <c r="E366" s="178" t="s">
        <v>216</v>
      </c>
      <c r="F366" s="64">
        <f>3711.6+412.4</f>
        <v>4124</v>
      </c>
      <c r="G366" s="64">
        <v>0</v>
      </c>
      <c r="H366" s="64">
        <v>0</v>
      </c>
    </row>
    <row r="367" spans="1:8" ht="31.5">
      <c r="A367" s="177" t="s">
        <v>19</v>
      </c>
      <c r="B367" s="48" t="s">
        <v>50</v>
      </c>
      <c r="C367" s="177">
        <v>3500000000</v>
      </c>
      <c r="D367" s="177"/>
      <c r="E367" s="30" t="s">
        <v>330</v>
      </c>
      <c r="F367" s="14">
        <f>F368</f>
        <v>10905.800000000001</v>
      </c>
      <c r="G367" s="14">
        <f t="shared" ref="G367:H367" si="113">G368</f>
        <v>0</v>
      </c>
      <c r="H367" s="14">
        <f t="shared" si="113"/>
        <v>0</v>
      </c>
    </row>
    <row r="368" spans="1:8" ht="31.5">
      <c r="A368" s="177" t="s">
        <v>19</v>
      </c>
      <c r="B368" s="48" t="s">
        <v>50</v>
      </c>
      <c r="C368" s="177">
        <v>3520000000</v>
      </c>
      <c r="D368" s="177"/>
      <c r="E368" s="30" t="s">
        <v>224</v>
      </c>
      <c r="F368" s="14">
        <f>F369+F373</f>
        <v>10905.800000000001</v>
      </c>
      <c r="G368" s="14">
        <f t="shared" ref="G368:H368" si="114">G369+G373</f>
        <v>0</v>
      </c>
      <c r="H368" s="14">
        <f t="shared" si="114"/>
        <v>0</v>
      </c>
    </row>
    <row r="369" spans="1:8" ht="63">
      <c r="A369" s="177" t="s">
        <v>19</v>
      </c>
      <c r="B369" s="48" t="s">
        <v>50</v>
      </c>
      <c r="C369" s="177">
        <v>3520100000</v>
      </c>
      <c r="D369" s="177"/>
      <c r="E369" s="30" t="s">
        <v>274</v>
      </c>
      <c r="F369" s="14">
        <f>F370</f>
        <v>2379.5</v>
      </c>
      <c r="G369" s="14">
        <f t="shared" ref="G369:H371" si="115">G370</f>
        <v>0</v>
      </c>
      <c r="H369" s="14">
        <f t="shared" si="115"/>
        <v>0</v>
      </c>
    </row>
    <row r="370" spans="1:8" ht="31.5">
      <c r="A370" s="177" t="s">
        <v>19</v>
      </c>
      <c r="B370" s="48" t="s">
        <v>50</v>
      </c>
      <c r="C370" s="7" t="s">
        <v>385</v>
      </c>
      <c r="D370" s="177"/>
      <c r="E370" s="22" t="s">
        <v>394</v>
      </c>
      <c r="F370" s="14">
        <f>F371</f>
        <v>2379.5</v>
      </c>
      <c r="G370" s="14">
        <f t="shared" si="115"/>
        <v>0</v>
      </c>
      <c r="H370" s="14">
        <f t="shared" si="115"/>
        <v>0</v>
      </c>
    </row>
    <row r="371" spans="1:8" ht="31.5">
      <c r="A371" s="177" t="s">
        <v>19</v>
      </c>
      <c r="B371" s="48" t="s">
        <v>50</v>
      </c>
      <c r="C371" s="7" t="s">
        <v>385</v>
      </c>
      <c r="D371" s="177" t="s">
        <v>69</v>
      </c>
      <c r="E371" s="178" t="s">
        <v>95</v>
      </c>
      <c r="F371" s="14">
        <f>F372</f>
        <v>2379.5</v>
      </c>
      <c r="G371" s="14">
        <f t="shared" si="115"/>
        <v>0</v>
      </c>
      <c r="H371" s="14">
        <f t="shared" si="115"/>
        <v>0</v>
      </c>
    </row>
    <row r="372" spans="1:8" ht="31.5">
      <c r="A372" s="177" t="s">
        <v>19</v>
      </c>
      <c r="B372" s="48" t="s">
        <v>50</v>
      </c>
      <c r="C372" s="7" t="s">
        <v>385</v>
      </c>
      <c r="D372" s="177">
        <v>240</v>
      </c>
      <c r="E372" s="178" t="s">
        <v>216</v>
      </c>
      <c r="F372" s="14">
        <f>1464.5+1464.5-324-324+1296.3+98.5-1296.3</f>
        <v>2379.5</v>
      </c>
      <c r="G372" s="14">
        <v>0</v>
      </c>
      <c r="H372" s="14">
        <v>0</v>
      </c>
    </row>
    <row r="373" spans="1:8" ht="47.25">
      <c r="A373" s="177" t="s">
        <v>19</v>
      </c>
      <c r="B373" s="48" t="s">
        <v>50</v>
      </c>
      <c r="C373" s="177">
        <v>3520200000</v>
      </c>
      <c r="D373" s="177"/>
      <c r="E373" s="178" t="s">
        <v>260</v>
      </c>
      <c r="F373" s="14">
        <f>F377+F374</f>
        <v>8526.3000000000011</v>
      </c>
      <c r="G373" s="14">
        <f t="shared" ref="G373:H373" si="116">G377+G374</f>
        <v>0</v>
      </c>
      <c r="H373" s="14">
        <f t="shared" si="116"/>
        <v>0</v>
      </c>
    </row>
    <row r="374" spans="1:8">
      <c r="A374" s="177" t="s">
        <v>19</v>
      </c>
      <c r="B374" s="1" t="s">
        <v>50</v>
      </c>
      <c r="C374" s="177">
        <v>3520220190</v>
      </c>
      <c r="D374" s="177"/>
      <c r="E374" s="178" t="s">
        <v>285</v>
      </c>
      <c r="F374" s="14">
        <f>F375</f>
        <v>3043.9</v>
      </c>
      <c r="G374" s="14">
        <f t="shared" ref="G374:H375" si="117">G375</f>
        <v>0</v>
      </c>
      <c r="H374" s="14">
        <f t="shared" si="117"/>
        <v>0</v>
      </c>
    </row>
    <row r="375" spans="1:8" ht="31.5">
      <c r="A375" s="177" t="s">
        <v>19</v>
      </c>
      <c r="B375" s="1" t="s">
        <v>50</v>
      </c>
      <c r="C375" s="177">
        <v>3520220190</v>
      </c>
      <c r="D375" s="177" t="s">
        <v>69</v>
      </c>
      <c r="E375" s="178" t="s">
        <v>95</v>
      </c>
      <c r="F375" s="14">
        <f>F376</f>
        <v>3043.9</v>
      </c>
      <c r="G375" s="14">
        <f t="shared" si="117"/>
        <v>0</v>
      </c>
      <c r="H375" s="14">
        <f t="shared" si="117"/>
        <v>0</v>
      </c>
    </row>
    <row r="376" spans="1:8" ht="31.5">
      <c r="A376" s="177" t="s">
        <v>19</v>
      </c>
      <c r="B376" s="1" t="s">
        <v>50</v>
      </c>
      <c r="C376" s="177">
        <v>3520220190</v>
      </c>
      <c r="D376" s="177">
        <v>240</v>
      </c>
      <c r="E376" s="178" t="s">
        <v>216</v>
      </c>
      <c r="F376" s="14">
        <v>3043.9</v>
      </c>
      <c r="G376" s="14">
        <v>0</v>
      </c>
      <c r="H376" s="14">
        <v>0</v>
      </c>
    </row>
    <row r="377" spans="1:8" ht="31.5">
      <c r="A377" s="177" t="s">
        <v>19</v>
      </c>
      <c r="B377" s="48" t="s">
        <v>50</v>
      </c>
      <c r="C377" s="7" t="s">
        <v>384</v>
      </c>
      <c r="D377" s="177"/>
      <c r="E377" s="178" t="s">
        <v>394</v>
      </c>
      <c r="F377" s="14">
        <f>F378</f>
        <v>5482.4000000000015</v>
      </c>
      <c r="G377" s="14">
        <f t="shared" ref="G377:H378" si="118">G378</f>
        <v>0</v>
      </c>
      <c r="H377" s="14">
        <f t="shared" si="118"/>
        <v>0</v>
      </c>
    </row>
    <row r="378" spans="1:8" ht="31.5">
      <c r="A378" s="177" t="s">
        <v>19</v>
      </c>
      <c r="B378" s="48" t="s">
        <v>50</v>
      </c>
      <c r="C378" s="7" t="s">
        <v>384</v>
      </c>
      <c r="D378" s="177" t="s">
        <v>69</v>
      </c>
      <c r="E378" s="178" t="s">
        <v>95</v>
      </c>
      <c r="F378" s="14">
        <f>F379</f>
        <v>5482.4000000000015</v>
      </c>
      <c r="G378" s="14">
        <f t="shared" si="118"/>
        <v>0</v>
      </c>
      <c r="H378" s="14">
        <f t="shared" si="118"/>
        <v>0</v>
      </c>
    </row>
    <row r="379" spans="1:8" ht="31.5">
      <c r="A379" s="177" t="s">
        <v>19</v>
      </c>
      <c r="B379" s="48" t="s">
        <v>50</v>
      </c>
      <c r="C379" s="7" t="s">
        <v>384</v>
      </c>
      <c r="D379" s="177">
        <v>240</v>
      </c>
      <c r="E379" s="178" t="s">
        <v>216</v>
      </c>
      <c r="F379" s="14">
        <f>4063.8+4063.9-1273.4-1273.4-98.5</f>
        <v>5482.4000000000015</v>
      </c>
      <c r="G379" s="14">
        <v>0</v>
      </c>
      <c r="H379" s="14">
        <v>0</v>
      </c>
    </row>
    <row r="380" spans="1:8">
      <c r="A380" s="177" t="s">
        <v>19</v>
      </c>
      <c r="B380" s="177" t="s">
        <v>51</v>
      </c>
      <c r="C380" s="177" t="s">
        <v>66</v>
      </c>
      <c r="D380" s="177" t="s">
        <v>66</v>
      </c>
      <c r="E380" s="178" t="s">
        <v>11</v>
      </c>
      <c r="F380" s="14">
        <f>F381+F397</f>
        <v>90307.999999999985</v>
      </c>
      <c r="G380" s="14">
        <f t="shared" ref="G380:H380" si="119">G381+G397</f>
        <v>82195.199999999997</v>
      </c>
      <c r="H380" s="14">
        <f t="shared" si="119"/>
        <v>0</v>
      </c>
    </row>
    <row r="381" spans="1:8" ht="47.25">
      <c r="A381" s="177" t="s">
        <v>19</v>
      </c>
      <c r="B381" s="177" t="s">
        <v>51</v>
      </c>
      <c r="C381" s="177">
        <v>3100000000</v>
      </c>
      <c r="D381" s="177"/>
      <c r="E381" s="178" t="s">
        <v>328</v>
      </c>
      <c r="F381" s="14">
        <f>F382</f>
        <v>90137.099999999991</v>
      </c>
      <c r="G381" s="14">
        <f t="shared" ref="G381:H381" si="120">G382</f>
        <v>82195.199999999997</v>
      </c>
      <c r="H381" s="14">
        <f t="shared" si="120"/>
        <v>0</v>
      </c>
    </row>
    <row r="382" spans="1:8">
      <c r="A382" s="177" t="s">
        <v>19</v>
      </c>
      <c r="B382" s="177" t="s">
        <v>51</v>
      </c>
      <c r="C382" s="177">
        <v>3110000000</v>
      </c>
      <c r="D382" s="177"/>
      <c r="E382" s="178" t="s">
        <v>163</v>
      </c>
      <c r="F382" s="14">
        <f>F390+F383</f>
        <v>90137.099999999991</v>
      </c>
      <c r="G382" s="14">
        <f>G390+G383</f>
        <v>82195.199999999997</v>
      </c>
      <c r="H382" s="14">
        <f>H390+H383</f>
        <v>0</v>
      </c>
    </row>
    <row r="383" spans="1:8" ht="78.75">
      <c r="A383" s="177" t="s">
        <v>19</v>
      </c>
      <c r="B383" s="177" t="s">
        <v>51</v>
      </c>
      <c r="C383" s="177">
        <v>3110500000</v>
      </c>
      <c r="D383" s="177"/>
      <c r="E383" s="178" t="s">
        <v>229</v>
      </c>
      <c r="F383" s="14">
        <f>F384+F387</f>
        <v>77076.599999999991</v>
      </c>
      <c r="G383" s="14">
        <f t="shared" ref="G383:H383" si="121">G384+G387</f>
        <v>0</v>
      </c>
      <c r="H383" s="14">
        <f t="shared" si="121"/>
        <v>0</v>
      </c>
    </row>
    <row r="384" spans="1:8" ht="31.5">
      <c r="A384" s="177" t="s">
        <v>19</v>
      </c>
      <c r="B384" s="177" t="s">
        <v>51</v>
      </c>
      <c r="C384" s="7" t="s">
        <v>371</v>
      </c>
      <c r="D384" s="177"/>
      <c r="E384" s="30" t="s">
        <v>319</v>
      </c>
      <c r="F384" s="14">
        <f>F385</f>
        <v>4343</v>
      </c>
      <c r="G384" s="14">
        <f t="shared" ref="G384:H385" si="122">G385</f>
        <v>0</v>
      </c>
      <c r="H384" s="14">
        <f t="shared" si="122"/>
        <v>0</v>
      </c>
    </row>
    <row r="385" spans="1:8" ht="31.5">
      <c r="A385" s="177" t="s">
        <v>19</v>
      </c>
      <c r="B385" s="177" t="s">
        <v>51</v>
      </c>
      <c r="C385" s="7" t="s">
        <v>371</v>
      </c>
      <c r="D385" s="177" t="s">
        <v>69</v>
      </c>
      <c r="E385" s="178" t="s">
        <v>95</v>
      </c>
      <c r="F385" s="14">
        <f>F386</f>
        <v>4343</v>
      </c>
      <c r="G385" s="14">
        <f t="shared" si="122"/>
        <v>0</v>
      </c>
      <c r="H385" s="14">
        <f t="shared" si="122"/>
        <v>0</v>
      </c>
    </row>
    <row r="386" spans="1:8" ht="31.5">
      <c r="A386" s="177" t="s">
        <v>19</v>
      </c>
      <c r="B386" s="177" t="s">
        <v>51</v>
      </c>
      <c r="C386" s="7" t="s">
        <v>371</v>
      </c>
      <c r="D386" s="177">
        <v>240</v>
      </c>
      <c r="E386" s="178" t="s">
        <v>216</v>
      </c>
      <c r="F386" s="14">
        <f>3200+1143</f>
        <v>4343</v>
      </c>
      <c r="G386" s="14">
        <v>0</v>
      </c>
      <c r="H386" s="14">
        <v>0</v>
      </c>
    </row>
    <row r="387" spans="1:8" ht="31.5">
      <c r="A387" s="177" t="s">
        <v>19</v>
      </c>
      <c r="B387" s="177" t="s">
        <v>51</v>
      </c>
      <c r="C387" s="177" t="s">
        <v>375</v>
      </c>
      <c r="D387" s="177"/>
      <c r="E387" s="178" t="s">
        <v>380</v>
      </c>
      <c r="F387" s="14">
        <f>F388</f>
        <v>72733.599999999991</v>
      </c>
      <c r="G387" s="14">
        <f t="shared" ref="G387:H388" si="123">G388</f>
        <v>0</v>
      </c>
      <c r="H387" s="14">
        <f t="shared" si="123"/>
        <v>0</v>
      </c>
    </row>
    <row r="388" spans="1:8" ht="31.5">
      <c r="A388" s="177" t="s">
        <v>19</v>
      </c>
      <c r="B388" s="177" t="s">
        <v>51</v>
      </c>
      <c r="C388" s="177" t="s">
        <v>375</v>
      </c>
      <c r="D388" s="177" t="s">
        <v>69</v>
      </c>
      <c r="E388" s="178" t="s">
        <v>95</v>
      </c>
      <c r="F388" s="14">
        <f>F389</f>
        <v>72733.599999999991</v>
      </c>
      <c r="G388" s="14">
        <f t="shared" si="123"/>
        <v>0</v>
      </c>
      <c r="H388" s="14">
        <f t="shared" si="123"/>
        <v>0</v>
      </c>
    </row>
    <row r="389" spans="1:8" ht="31.5">
      <c r="A389" s="177" t="s">
        <v>19</v>
      </c>
      <c r="B389" s="177" t="s">
        <v>51</v>
      </c>
      <c r="C389" s="177" t="s">
        <v>375</v>
      </c>
      <c r="D389" s="177">
        <v>240</v>
      </c>
      <c r="E389" s="178" t="s">
        <v>216</v>
      </c>
      <c r="F389" s="14">
        <f>46862.1+12362.4+7634.7+10783.4-690.5-4219.4+0.9</f>
        <v>72733.599999999991</v>
      </c>
      <c r="G389" s="14">
        <v>0</v>
      </c>
      <c r="H389" s="14">
        <v>0</v>
      </c>
    </row>
    <row r="390" spans="1:8" ht="31.5">
      <c r="A390" s="58" t="s">
        <v>19</v>
      </c>
      <c r="B390" s="58" t="s">
        <v>51</v>
      </c>
      <c r="C390" s="177" t="s">
        <v>342</v>
      </c>
      <c r="D390" s="100"/>
      <c r="E390" s="178" t="s">
        <v>299</v>
      </c>
      <c r="F390" s="14">
        <f>F391+F394</f>
        <v>13060.500000000002</v>
      </c>
      <c r="G390" s="14">
        <f t="shared" ref="G390:H390" si="124">G391+G394</f>
        <v>82195.199999999997</v>
      </c>
      <c r="H390" s="14">
        <f t="shared" si="124"/>
        <v>0</v>
      </c>
    </row>
    <row r="391" spans="1:8" ht="31.5">
      <c r="A391" s="58" t="s">
        <v>19</v>
      </c>
      <c r="B391" s="58" t="s">
        <v>51</v>
      </c>
      <c r="C391" s="177" t="s">
        <v>343</v>
      </c>
      <c r="D391" s="177"/>
      <c r="E391" s="178" t="s">
        <v>298</v>
      </c>
      <c r="F391" s="14">
        <f>F392</f>
        <v>12389.000000000002</v>
      </c>
      <c r="G391" s="14">
        <f t="shared" ref="G391:H392" si="125">G392</f>
        <v>82072.099999999991</v>
      </c>
      <c r="H391" s="14">
        <f t="shared" si="125"/>
        <v>0</v>
      </c>
    </row>
    <row r="392" spans="1:8" ht="31.5">
      <c r="A392" s="58" t="s">
        <v>19</v>
      </c>
      <c r="B392" s="58" t="s">
        <v>51</v>
      </c>
      <c r="C392" s="177" t="s">
        <v>343</v>
      </c>
      <c r="D392" s="177" t="s">
        <v>69</v>
      </c>
      <c r="E392" s="178" t="s">
        <v>95</v>
      </c>
      <c r="F392" s="14">
        <f>F393</f>
        <v>12389.000000000002</v>
      </c>
      <c r="G392" s="14">
        <f t="shared" si="125"/>
        <v>82072.099999999991</v>
      </c>
      <c r="H392" s="14">
        <f t="shared" si="125"/>
        <v>0</v>
      </c>
    </row>
    <row r="393" spans="1:8" ht="31.5">
      <c r="A393" s="58" t="s">
        <v>19</v>
      </c>
      <c r="B393" s="58" t="s">
        <v>51</v>
      </c>
      <c r="C393" s="177" t="s">
        <v>343</v>
      </c>
      <c r="D393" s="177">
        <v>240</v>
      </c>
      <c r="E393" s="178" t="s">
        <v>216</v>
      </c>
      <c r="F393" s="14">
        <f>11736.9+1304.1-1173.8-130.4+652.2</f>
        <v>12389.000000000002</v>
      </c>
      <c r="G393" s="14">
        <f>73864.9+8207.2</f>
        <v>82072.099999999991</v>
      </c>
      <c r="H393" s="14">
        <v>0</v>
      </c>
    </row>
    <row r="394" spans="1:8" ht="31.5">
      <c r="A394" s="177" t="s">
        <v>19</v>
      </c>
      <c r="B394" s="177" t="s">
        <v>51</v>
      </c>
      <c r="C394" s="177" t="s">
        <v>344</v>
      </c>
      <c r="D394" s="101"/>
      <c r="E394" s="22" t="s">
        <v>424</v>
      </c>
      <c r="F394" s="14">
        <f>F395</f>
        <v>671.5</v>
      </c>
      <c r="G394" s="14">
        <f t="shared" ref="G394:H395" si="126">G395</f>
        <v>123.1</v>
      </c>
      <c r="H394" s="14">
        <f t="shared" si="126"/>
        <v>0</v>
      </c>
    </row>
    <row r="395" spans="1:8" ht="31.5">
      <c r="A395" s="177" t="s">
        <v>19</v>
      </c>
      <c r="B395" s="177" t="s">
        <v>51</v>
      </c>
      <c r="C395" s="177" t="s">
        <v>344</v>
      </c>
      <c r="D395" s="177" t="s">
        <v>69</v>
      </c>
      <c r="E395" s="178" t="s">
        <v>95</v>
      </c>
      <c r="F395" s="14">
        <f>F396</f>
        <v>671.5</v>
      </c>
      <c r="G395" s="14">
        <f t="shared" si="126"/>
        <v>123.1</v>
      </c>
      <c r="H395" s="14">
        <f t="shared" si="126"/>
        <v>0</v>
      </c>
    </row>
    <row r="396" spans="1:8" ht="31.5">
      <c r="A396" s="177" t="s">
        <v>19</v>
      </c>
      <c r="B396" s="177" t="s">
        <v>51</v>
      </c>
      <c r="C396" s="177" t="s">
        <v>344</v>
      </c>
      <c r="D396" s="177">
        <v>240</v>
      </c>
      <c r="E396" s="178" t="s">
        <v>216</v>
      </c>
      <c r="F396" s="14">
        <f>18+2+1173.4+130.3-652.2</f>
        <v>671.5</v>
      </c>
      <c r="G396" s="14">
        <f>110.8+12.3</f>
        <v>123.1</v>
      </c>
      <c r="H396" s="14">
        <v>0</v>
      </c>
    </row>
    <row r="397" spans="1:8">
      <c r="A397" s="58" t="s">
        <v>19</v>
      </c>
      <c r="B397" s="58" t="s">
        <v>51</v>
      </c>
      <c r="C397" s="177">
        <v>9900000000</v>
      </c>
      <c r="D397" s="177"/>
      <c r="E397" s="178" t="s">
        <v>105</v>
      </c>
      <c r="F397" s="14">
        <f>F398</f>
        <v>170.9</v>
      </c>
      <c r="G397" s="14">
        <f t="shared" ref="G397:H400" si="127">G398</f>
        <v>0</v>
      </c>
      <c r="H397" s="14">
        <f t="shared" si="127"/>
        <v>0</v>
      </c>
    </row>
    <row r="398" spans="1:8" ht="31.5">
      <c r="A398" s="58" t="s">
        <v>19</v>
      </c>
      <c r="B398" s="58" t="s">
        <v>51</v>
      </c>
      <c r="C398" s="177">
        <v>9930000000</v>
      </c>
      <c r="D398" s="177"/>
      <c r="E398" s="178" t="s">
        <v>154</v>
      </c>
      <c r="F398" s="14">
        <f>F399</f>
        <v>170.9</v>
      </c>
      <c r="G398" s="14">
        <f t="shared" si="127"/>
        <v>0</v>
      </c>
      <c r="H398" s="14">
        <f t="shared" si="127"/>
        <v>0</v>
      </c>
    </row>
    <row r="399" spans="1:8" ht="31.5">
      <c r="A399" s="177" t="s">
        <v>19</v>
      </c>
      <c r="B399" s="177" t="s">
        <v>51</v>
      </c>
      <c r="C399" s="177">
        <v>9930020490</v>
      </c>
      <c r="D399" s="177"/>
      <c r="E399" s="30" t="s">
        <v>438</v>
      </c>
      <c r="F399" s="14">
        <f>F400</f>
        <v>170.9</v>
      </c>
      <c r="G399" s="14">
        <f t="shared" si="127"/>
        <v>0</v>
      </c>
      <c r="H399" s="14">
        <f t="shared" si="127"/>
        <v>0</v>
      </c>
    </row>
    <row r="400" spans="1:8">
      <c r="A400" s="177" t="s">
        <v>19</v>
      </c>
      <c r="B400" s="177" t="s">
        <v>51</v>
      </c>
      <c r="C400" s="177">
        <v>9930020490</v>
      </c>
      <c r="D400" s="8" t="s">
        <v>70</v>
      </c>
      <c r="E400" s="22" t="s">
        <v>71</v>
      </c>
      <c r="F400" s="14">
        <f>F401</f>
        <v>170.9</v>
      </c>
      <c r="G400" s="14">
        <f t="shared" si="127"/>
        <v>0</v>
      </c>
      <c r="H400" s="14">
        <f t="shared" si="127"/>
        <v>0</v>
      </c>
    </row>
    <row r="401" spans="1:8">
      <c r="A401" s="177" t="s">
        <v>19</v>
      </c>
      <c r="B401" s="177" t="s">
        <v>51</v>
      </c>
      <c r="C401" s="177">
        <v>9930020490</v>
      </c>
      <c r="D401" s="177">
        <v>830</v>
      </c>
      <c r="E401" s="65" t="s">
        <v>446</v>
      </c>
      <c r="F401" s="14">
        <v>170.9</v>
      </c>
      <c r="G401" s="14">
        <v>0</v>
      </c>
      <c r="H401" s="14">
        <v>0</v>
      </c>
    </row>
    <row r="402" spans="1:8">
      <c r="A402" s="6" t="s">
        <v>19</v>
      </c>
      <c r="B402" s="6" t="s">
        <v>90</v>
      </c>
      <c r="C402" s="7"/>
      <c r="D402" s="7"/>
      <c r="E402" s="178" t="s">
        <v>91</v>
      </c>
      <c r="F402" s="14">
        <f>F403+F419</f>
        <v>38211.800000000003</v>
      </c>
      <c r="G402" s="14">
        <f>G403+G419</f>
        <v>37582.600000000006</v>
      </c>
      <c r="H402" s="14">
        <f>H403+H419</f>
        <v>37800.800000000003</v>
      </c>
    </row>
    <row r="403" spans="1:8" ht="47.25">
      <c r="A403" s="6" t="s">
        <v>19</v>
      </c>
      <c r="B403" s="177" t="s">
        <v>90</v>
      </c>
      <c r="C403" s="177">
        <v>3100000000</v>
      </c>
      <c r="D403" s="177"/>
      <c r="E403" s="178" t="s">
        <v>328</v>
      </c>
      <c r="F403" s="14">
        <f>F404</f>
        <v>37020.300000000003</v>
      </c>
      <c r="G403" s="14">
        <f>G404</f>
        <v>36663.600000000006</v>
      </c>
      <c r="H403" s="14">
        <f>H404</f>
        <v>36881.800000000003</v>
      </c>
    </row>
    <row r="404" spans="1:8">
      <c r="A404" s="6" t="s">
        <v>19</v>
      </c>
      <c r="B404" s="177" t="s">
        <v>90</v>
      </c>
      <c r="C404" s="177">
        <v>3120000000</v>
      </c>
      <c r="D404" s="177"/>
      <c r="E404" s="178" t="s">
        <v>121</v>
      </c>
      <c r="F404" s="14">
        <f>F405+F415</f>
        <v>37020.300000000003</v>
      </c>
      <c r="G404" s="14">
        <f>G405+G415</f>
        <v>36663.600000000006</v>
      </c>
      <c r="H404" s="14">
        <f>H405+H415</f>
        <v>36881.800000000003</v>
      </c>
    </row>
    <row r="405" spans="1:8" ht="47.25">
      <c r="A405" s="6" t="s">
        <v>19</v>
      </c>
      <c r="B405" s="177" t="s">
        <v>90</v>
      </c>
      <c r="C405" s="177">
        <v>3120100000</v>
      </c>
      <c r="D405" s="177"/>
      <c r="E405" s="178" t="s">
        <v>122</v>
      </c>
      <c r="F405" s="14">
        <f>F406+F409+F412</f>
        <v>36747.800000000003</v>
      </c>
      <c r="G405" s="14">
        <f t="shared" ref="G405:H405" si="128">G406+G409+G412</f>
        <v>36663.600000000006</v>
      </c>
      <c r="H405" s="14">
        <f t="shared" si="128"/>
        <v>36881.800000000003</v>
      </c>
    </row>
    <row r="406" spans="1:8" ht="31.5">
      <c r="A406" s="6" t="s">
        <v>19</v>
      </c>
      <c r="B406" s="177" t="s">
        <v>90</v>
      </c>
      <c r="C406" s="177">
        <v>3120120010</v>
      </c>
      <c r="D406" s="177"/>
      <c r="E406" s="178" t="s">
        <v>123</v>
      </c>
      <c r="F406" s="14">
        <f t="shared" ref="F406:H407" si="129">F407</f>
        <v>18023.2</v>
      </c>
      <c r="G406" s="14">
        <f t="shared" si="129"/>
        <v>18218.900000000001</v>
      </c>
      <c r="H406" s="14">
        <f t="shared" si="129"/>
        <v>18437.099999999999</v>
      </c>
    </row>
    <row r="407" spans="1:8" ht="31.5">
      <c r="A407" s="6" t="s">
        <v>19</v>
      </c>
      <c r="B407" s="177" t="s">
        <v>90</v>
      </c>
      <c r="C407" s="177">
        <v>3120120010</v>
      </c>
      <c r="D407" s="177" t="s">
        <v>97</v>
      </c>
      <c r="E407" s="178" t="s">
        <v>98</v>
      </c>
      <c r="F407" s="14">
        <f t="shared" si="129"/>
        <v>18023.2</v>
      </c>
      <c r="G407" s="14">
        <f t="shared" si="129"/>
        <v>18218.900000000001</v>
      </c>
      <c r="H407" s="14">
        <f t="shared" si="129"/>
        <v>18437.099999999999</v>
      </c>
    </row>
    <row r="408" spans="1:8">
      <c r="A408" s="6" t="s">
        <v>19</v>
      </c>
      <c r="B408" s="177" t="s">
        <v>90</v>
      </c>
      <c r="C408" s="177">
        <v>3120120010</v>
      </c>
      <c r="D408" s="177">
        <v>610</v>
      </c>
      <c r="E408" s="178" t="s">
        <v>104</v>
      </c>
      <c r="F408" s="14">
        <f>18025.9-2.7</f>
        <v>18023.2</v>
      </c>
      <c r="G408" s="14">
        <v>18218.900000000001</v>
      </c>
      <c r="H408" s="14">
        <v>18437.099999999999</v>
      </c>
    </row>
    <row r="409" spans="1:8" ht="47.25">
      <c r="A409" s="6" t="s">
        <v>19</v>
      </c>
      <c r="B409" s="177" t="s">
        <v>90</v>
      </c>
      <c r="C409" s="177" t="s">
        <v>345</v>
      </c>
      <c r="D409" s="177"/>
      <c r="E409" s="30" t="s">
        <v>369</v>
      </c>
      <c r="F409" s="14">
        <f t="shared" ref="F409:H410" si="130">F410</f>
        <v>18444.7</v>
      </c>
      <c r="G409" s="14">
        <f t="shared" si="130"/>
        <v>18444.7</v>
      </c>
      <c r="H409" s="14">
        <f t="shared" si="130"/>
        <v>18444.7</v>
      </c>
    </row>
    <row r="410" spans="1:8" ht="31.5">
      <c r="A410" s="6" t="s">
        <v>19</v>
      </c>
      <c r="B410" s="177" t="s">
        <v>90</v>
      </c>
      <c r="C410" s="177" t="s">
        <v>345</v>
      </c>
      <c r="D410" s="177" t="s">
        <v>97</v>
      </c>
      <c r="E410" s="30" t="s">
        <v>98</v>
      </c>
      <c r="F410" s="14">
        <f t="shared" si="130"/>
        <v>18444.7</v>
      </c>
      <c r="G410" s="14">
        <f t="shared" si="130"/>
        <v>18444.7</v>
      </c>
      <c r="H410" s="14">
        <f t="shared" si="130"/>
        <v>18444.7</v>
      </c>
    </row>
    <row r="411" spans="1:8">
      <c r="A411" s="6" t="s">
        <v>19</v>
      </c>
      <c r="B411" s="177" t="s">
        <v>90</v>
      </c>
      <c r="C411" s="177" t="s">
        <v>345</v>
      </c>
      <c r="D411" s="177">
        <v>610</v>
      </c>
      <c r="E411" s="30" t="s">
        <v>104</v>
      </c>
      <c r="F411" s="14">
        <f>18260.3+184.4</f>
        <v>18444.7</v>
      </c>
      <c r="G411" s="14">
        <f>18260.3+184.4</f>
        <v>18444.7</v>
      </c>
      <c r="H411" s="14">
        <f>18260.3+184.4</f>
        <v>18444.7</v>
      </c>
    </row>
    <row r="412" spans="1:8" ht="31.5">
      <c r="A412" s="6" t="s">
        <v>19</v>
      </c>
      <c r="B412" s="177" t="s">
        <v>90</v>
      </c>
      <c r="C412" s="177" t="s">
        <v>800</v>
      </c>
      <c r="D412" s="177"/>
      <c r="E412" s="30" t="s">
        <v>801</v>
      </c>
      <c r="F412" s="14">
        <f>F413</f>
        <v>279.89999999999998</v>
      </c>
      <c r="G412" s="14">
        <f t="shared" ref="G412:H413" si="131">G413</f>
        <v>0</v>
      </c>
      <c r="H412" s="14">
        <f t="shared" si="131"/>
        <v>0</v>
      </c>
    </row>
    <row r="413" spans="1:8" ht="31.5">
      <c r="A413" s="6" t="s">
        <v>19</v>
      </c>
      <c r="B413" s="177" t="s">
        <v>90</v>
      </c>
      <c r="C413" s="177" t="s">
        <v>800</v>
      </c>
      <c r="D413" s="177" t="s">
        <v>97</v>
      </c>
      <c r="E413" s="30" t="s">
        <v>98</v>
      </c>
      <c r="F413" s="14">
        <f>F414</f>
        <v>279.89999999999998</v>
      </c>
      <c r="G413" s="14">
        <f t="shared" si="131"/>
        <v>0</v>
      </c>
      <c r="H413" s="14">
        <f t="shared" si="131"/>
        <v>0</v>
      </c>
    </row>
    <row r="414" spans="1:8">
      <c r="A414" s="6" t="s">
        <v>19</v>
      </c>
      <c r="B414" s="177" t="s">
        <v>90</v>
      </c>
      <c r="C414" s="177" t="s">
        <v>800</v>
      </c>
      <c r="D414" s="177">
        <v>610</v>
      </c>
      <c r="E414" s="30" t="s">
        <v>104</v>
      </c>
      <c r="F414" s="14">
        <f>277.2+2.7</f>
        <v>279.89999999999998</v>
      </c>
      <c r="G414" s="14">
        <v>0</v>
      </c>
      <c r="H414" s="14">
        <v>0</v>
      </c>
    </row>
    <row r="415" spans="1:8" ht="47.25">
      <c r="A415" s="6" t="s">
        <v>19</v>
      </c>
      <c r="B415" s="177" t="s">
        <v>90</v>
      </c>
      <c r="C415" s="177">
        <v>3120200000</v>
      </c>
      <c r="D415" s="177"/>
      <c r="E415" s="30" t="s">
        <v>441</v>
      </c>
      <c r="F415" s="14">
        <f>F416</f>
        <v>272.5</v>
      </c>
      <c r="G415" s="14">
        <f t="shared" ref="G415:H417" si="132">G416</f>
        <v>0</v>
      </c>
      <c r="H415" s="14">
        <f t="shared" si="132"/>
        <v>0</v>
      </c>
    </row>
    <row r="416" spans="1:8" ht="31.5">
      <c r="A416" s="6" t="s">
        <v>19</v>
      </c>
      <c r="B416" s="177" t="s">
        <v>90</v>
      </c>
      <c r="C416" s="177" t="s">
        <v>443</v>
      </c>
      <c r="D416" s="177"/>
      <c r="E416" s="30" t="s">
        <v>442</v>
      </c>
      <c r="F416" s="14">
        <f>F417</f>
        <v>272.5</v>
      </c>
      <c r="G416" s="14">
        <f t="shared" si="132"/>
        <v>0</v>
      </c>
      <c r="H416" s="14">
        <f t="shared" si="132"/>
        <v>0</v>
      </c>
    </row>
    <row r="417" spans="1:8" ht="31.5">
      <c r="A417" s="6" t="s">
        <v>19</v>
      </c>
      <c r="B417" s="177" t="s">
        <v>90</v>
      </c>
      <c r="C417" s="177" t="s">
        <v>443</v>
      </c>
      <c r="D417" s="177" t="s">
        <v>97</v>
      </c>
      <c r="E417" s="30" t="s">
        <v>98</v>
      </c>
      <c r="F417" s="14">
        <f>F418</f>
        <v>272.5</v>
      </c>
      <c r="G417" s="14">
        <f t="shared" si="132"/>
        <v>0</v>
      </c>
      <c r="H417" s="14">
        <f t="shared" si="132"/>
        <v>0</v>
      </c>
    </row>
    <row r="418" spans="1:8">
      <c r="A418" s="6" t="s">
        <v>19</v>
      </c>
      <c r="B418" s="177" t="s">
        <v>90</v>
      </c>
      <c r="C418" s="177" t="s">
        <v>443</v>
      </c>
      <c r="D418" s="177">
        <v>610</v>
      </c>
      <c r="E418" s="30" t="s">
        <v>104</v>
      </c>
      <c r="F418" s="14">
        <f>27.3+245.2</f>
        <v>272.5</v>
      </c>
      <c r="G418" s="14">
        <v>0</v>
      </c>
      <c r="H418" s="14">
        <v>0</v>
      </c>
    </row>
    <row r="419" spans="1:8" ht="31.5">
      <c r="A419" s="6" t="s">
        <v>19</v>
      </c>
      <c r="B419" s="177" t="s">
        <v>90</v>
      </c>
      <c r="C419" s="177">
        <v>3500000000</v>
      </c>
      <c r="D419" s="177"/>
      <c r="E419" s="178" t="s">
        <v>330</v>
      </c>
      <c r="F419" s="14">
        <f>F420</f>
        <v>1191.5</v>
      </c>
      <c r="G419" s="14">
        <f>G420</f>
        <v>919</v>
      </c>
      <c r="H419" s="14">
        <f>H420</f>
        <v>919</v>
      </c>
    </row>
    <row r="420" spans="1:8" ht="31.5">
      <c r="A420" s="6" t="s">
        <v>19</v>
      </c>
      <c r="B420" s="177" t="s">
        <v>90</v>
      </c>
      <c r="C420" s="177">
        <v>3520000000</v>
      </c>
      <c r="D420" s="177"/>
      <c r="E420" s="178" t="s">
        <v>228</v>
      </c>
      <c r="F420" s="14">
        <f>F421+F425+F429</f>
        <v>1191.5</v>
      </c>
      <c r="G420" s="14">
        <f>G421+G425+G429</f>
        <v>919</v>
      </c>
      <c r="H420" s="14">
        <f>H421+H425+H429</f>
        <v>919</v>
      </c>
    </row>
    <row r="421" spans="1:8" ht="31.5">
      <c r="A421" s="6" t="s">
        <v>19</v>
      </c>
      <c r="B421" s="177" t="s">
        <v>90</v>
      </c>
      <c r="C421" s="177">
        <v>3520300000</v>
      </c>
      <c r="D421" s="177"/>
      <c r="E421" s="30" t="s">
        <v>264</v>
      </c>
      <c r="F421" s="14">
        <f>F422</f>
        <v>138.6</v>
      </c>
      <c r="G421" s="14">
        <f t="shared" ref="G421:H423" si="133">G422</f>
        <v>108.2</v>
      </c>
      <c r="H421" s="14">
        <f t="shared" si="133"/>
        <v>108.2</v>
      </c>
    </row>
    <row r="422" spans="1:8">
      <c r="A422" s="6" t="s">
        <v>19</v>
      </c>
      <c r="B422" s="177" t="s">
        <v>90</v>
      </c>
      <c r="C422" s="177">
        <v>3520320300</v>
      </c>
      <c r="D422" s="177"/>
      <c r="E422" s="30" t="s">
        <v>265</v>
      </c>
      <c r="F422" s="14">
        <f>F423</f>
        <v>138.6</v>
      </c>
      <c r="G422" s="14">
        <f t="shared" si="133"/>
        <v>108.2</v>
      </c>
      <c r="H422" s="14">
        <f t="shared" si="133"/>
        <v>108.2</v>
      </c>
    </row>
    <row r="423" spans="1:8" ht="31.5">
      <c r="A423" s="6" t="s">
        <v>19</v>
      </c>
      <c r="B423" s="177" t="s">
        <v>90</v>
      </c>
      <c r="C423" s="177">
        <v>3520320300</v>
      </c>
      <c r="D423" s="177" t="s">
        <v>97</v>
      </c>
      <c r="E423" s="30" t="s">
        <v>98</v>
      </c>
      <c r="F423" s="14">
        <f>F424</f>
        <v>138.6</v>
      </c>
      <c r="G423" s="14">
        <f t="shared" si="133"/>
        <v>108.2</v>
      </c>
      <c r="H423" s="14">
        <f t="shared" si="133"/>
        <v>108.2</v>
      </c>
    </row>
    <row r="424" spans="1:8">
      <c r="A424" s="6" t="s">
        <v>19</v>
      </c>
      <c r="B424" s="177" t="s">
        <v>90</v>
      </c>
      <c r="C424" s="177">
        <v>3520320300</v>
      </c>
      <c r="D424" s="177">
        <v>610</v>
      </c>
      <c r="E424" s="30" t="s">
        <v>104</v>
      </c>
      <c r="F424" s="14">
        <v>138.6</v>
      </c>
      <c r="G424" s="14">
        <v>108.2</v>
      </c>
      <c r="H424" s="14">
        <v>108.2</v>
      </c>
    </row>
    <row r="425" spans="1:8" ht="31.5">
      <c r="A425" s="6" t="s">
        <v>19</v>
      </c>
      <c r="B425" s="177" t="s">
        <v>90</v>
      </c>
      <c r="C425" s="177">
        <v>3520400000</v>
      </c>
      <c r="D425" s="177"/>
      <c r="E425" s="178" t="s">
        <v>270</v>
      </c>
      <c r="F425" s="14">
        <f>F426</f>
        <v>146.1</v>
      </c>
      <c r="G425" s="14">
        <f t="shared" ref="G425:H427" si="134">G426</f>
        <v>87.3</v>
      </c>
      <c r="H425" s="14">
        <f t="shared" si="134"/>
        <v>87.3</v>
      </c>
    </row>
    <row r="426" spans="1:8">
      <c r="A426" s="6" t="s">
        <v>19</v>
      </c>
      <c r="B426" s="177" t="s">
        <v>90</v>
      </c>
      <c r="C426" s="177">
        <v>3520420300</v>
      </c>
      <c r="D426" s="177"/>
      <c r="E426" s="178" t="s">
        <v>271</v>
      </c>
      <c r="F426" s="14">
        <f>F427</f>
        <v>146.1</v>
      </c>
      <c r="G426" s="14">
        <f t="shared" si="134"/>
        <v>87.3</v>
      </c>
      <c r="H426" s="14">
        <f t="shared" si="134"/>
        <v>87.3</v>
      </c>
    </row>
    <row r="427" spans="1:8" ht="31.5">
      <c r="A427" s="6" t="s">
        <v>19</v>
      </c>
      <c r="B427" s="177" t="s">
        <v>90</v>
      </c>
      <c r="C427" s="177">
        <v>3520420300</v>
      </c>
      <c r="D427" s="177" t="s">
        <v>97</v>
      </c>
      <c r="E427" s="30" t="s">
        <v>98</v>
      </c>
      <c r="F427" s="14">
        <f>F428</f>
        <v>146.1</v>
      </c>
      <c r="G427" s="14">
        <f t="shared" si="134"/>
        <v>87.3</v>
      </c>
      <c r="H427" s="14">
        <f t="shared" si="134"/>
        <v>87.3</v>
      </c>
    </row>
    <row r="428" spans="1:8">
      <c r="A428" s="6" t="s">
        <v>19</v>
      </c>
      <c r="B428" s="177" t="s">
        <v>90</v>
      </c>
      <c r="C428" s="177">
        <v>3520420300</v>
      </c>
      <c r="D428" s="177">
        <v>610</v>
      </c>
      <c r="E428" s="30" t="s">
        <v>104</v>
      </c>
      <c r="F428" s="14">
        <v>146.1</v>
      </c>
      <c r="G428" s="14">
        <v>87.3</v>
      </c>
      <c r="H428" s="14">
        <v>87.3</v>
      </c>
    </row>
    <row r="429" spans="1:8" ht="31.5">
      <c r="A429" s="6" t="s">
        <v>19</v>
      </c>
      <c r="B429" s="177" t="s">
        <v>90</v>
      </c>
      <c r="C429" s="177">
        <v>3520500000</v>
      </c>
      <c r="D429" s="177"/>
      <c r="E429" s="178" t="s">
        <v>269</v>
      </c>
      <c r="F429" s="14">
        <f>F430</f>
        <v>906.8</v>
      </c>
      <c r="G429" s="14">
        <f t="shared" ref="G429:H431" si="135">G430</f>
        <v>723.5</v>
      </c>
      <c r="H429" s="14">
        <f t="shared" si="135"/>
        <v>723.5</v>
      </c>
    </row>
    <row r="430" spans="1:8">
      <c r="A430" s="6" t="s">
        <v>19</v>
      </c>
      <c r="B430" s="177" t="s">
        <v>90</v>
      </c>
      <c r="C430" s="177">
        <v>3520520200</v>
      </c>
      <c r="D430" s="177"/>
      <c r="E430" s="178" t="s">
        <v>252</v>
      </c>
      <c r="F430" s="14">
        <f>F431</f>
        <v>906.8</v>
      </c>
      <c r="G430" s="14">
        <f t="shared" si="135"/>
        <v>723.5</v>
      </c>
      <c r="H430" s="14">
        <f t="shared" si="135"/>
        <v>723.5</v>
      </c>
    </row>
    <row r="431" spans="1:8" ht="31.5">
      <c r="A431" s="6" t="s">
        <v>19</v>
      </c>
      <c r="B431" s="177" t="s">
        <v>90</v>
      </c>
      <c r="C431" s="177">
        <v>3520520200</v>
      </c>
      <c r="D431" s="177" t="s">
        <v>97</v>
      </c>
      <c r="E431" s="30" t="s">
        <v>98</v>
      </c>
      <c r="F431" s="14">
        <f>F432</f>
        <v>906.8</v>
      </c>
      <c r="G431" s="14">
        <f t="shared" si="135"/>
        <v>723.5</v>
      </c>
      <c r="H431" s="14">
        <f t="shared" si="135"/>
        <v>723.5</v>
      </c>
    </row>
    <row r="432" spans="1:8">
      <c r="A432" s="6" t="s">
        <v>19</v>
      </c>
      <c r="B432" s="177" t="s">
        <v>90</v>
      </c>
      <c r="C432" s="177">
        <v>3520520200</v>
      </c>
      <c r="D432" s="177">
        <v>610</v>
      </c>
      <c r="E432" s="30" t="s">
        <v>104</v>
      </c>
      <c r="F432" s="14">
        <v>906.8</v>
      </c>
      <c r="G432" s="14">
        <v>723.5</v>
      </c>
      <c r="H432" s="14">
        <v>723.5</v>
      </c>
    </row>
    <row r="433" spans="1:8" ht="31.5">
      <c r="A433" s="6" t="s">
        <v>19</v>
      </c>
      <c r="B433" s="58" t="s">
        <v>192</v>
      </c>
      <c r="C433" s="177"/>
      <c r="D433" s="177"/>
      <c r="E433" s="178" t="s">
        <v>218</v>
      </c>
      <c r="F433" s="14">
        <f t="shared" ref="F433:H438" si="136">F434</f>
        <v>150</v>
      </c>
      <c r="G433" s="14">
        <f t="shared" si="136"/>
        <v>0</v>
      </c>
      <c r="H433" s="14">
        <f t="shared" si="136"/>
        <v>0</v>
      </c>
    </row>
    <row r="434" spans="1:8" ht="47.25">
      <c r="A434" s="6" t="s">
        <v>19</v>
      </c>
      <c r="B434" s="58" t="s">
        <v>192</v>
      </c>
      <c r="C434" s="177">
        <v>3600000000</v>
      </c>
      <c r="D434" s="177"/>
      <c r="E434" s="178" t="s">
        <v>331</v>
      </c>
      <c r="F434" s="14">
        <f t="shared" si="136"/>
        <v>150</v>
      </c>
      <c r="G434" s="14">
        <f t="shared" si="136"/>
        <v>0</v>
      </c>
      <c r="H434" s="14">
        <f t="shared" si="136"/>
        <v>0</v>
      </c>
    </row>
    <row r="435" spans="1:8" ht="47.25">
      <c r="A435" s="6" t="s">
        <v>19</v>
      </c>
      <c r="B435" s="58" t="s">
        <v>192</v>
      </c>
      <c r="C435" s="177">
        <v>3630000000</v>
      </c>
      <c r="D435" s="1"/>
      <c r="E435" s="26" t="s">
        <v>193</v>
      </c>
      <c r="F435" s="14">
        <f t="shared" si="136"/>
        <v>150</v>
      </c>
      <c r="G435" s="14">
        <f t="shared" si="136"/>
        <v>0</v>
      </c>
      <c r="H435" s="14">
        <f t="shared" si="136"/>
        <v>0</v>
      </c>
    </row>
    <row r="436" spans="1:8" ht="31.5">
      <c r="A436" s="6" t="s">
        <v>19</v>
      </c>
      <c r="B436" s="58" t="s">
        <v>192</v>
      </c>
      <c r="C436" s="177">
        <v>3630100000</v>
      </c>
      <c r="D436" s="177"/>
      <c r="E436" s="178" t="s">
        <v>195</v>
      </c>
      <c r="F436" s="14">
        <f>F437</f>
        <v>150</v>
      </c>
      <c r="G436" s="14">
        <f t="shared" si="136"/>
        <v>0</v>
      </c>
      <c r="H436" s="14">
        <f t="shared" si="136"/>
        <v>0</v>
      </c>
    </row>
    <row r="437" spans="1:8">
      <c r="A437" s="6" t="s">
        <v>19</v>
      </c>
      <c r="B437" s="58" t="s">
        <v>192</v>
      </c>
      <c r="C437" s="177">
        <v>3630120510</v>
      </c>
      <c r="D437" s="177"/>
      <c r="E437" s="178" t="s">
        <v>197</v>
      </c>
      <c r="F437" s="14">
        <f>F438</f>
        <v>150</v>
      </c>
      <c r="G437" s="14">
        <f t="shared" si="136"/>
        <v>0</v>
      </c>
      <c r="H437" s="14">
        <f t="shared" si="136"/>
        <v>0</v>
      </c>
    </row>
    <row r="438" spans="1:8" ht="31.5">
      <c r="A438" s="6" t="s">
        <v>19</v>
      </c>
      <c r="B438" s="58" t="s">
        <v>192</v>
      </c>
      <c r="C438" s="177">
        <v>3630120510</v>
      </c>
      <c r="D438" s="177" t="s">
        <v>69</v>
      </c>
      <c r="E438" s="178" t="s">
        <v>95</v>
      </c>
      <c r="F438" s="14">
        <f t="shared" si="136"/>
        <v>150</v>
      </c>
      <c r="G438" s="14">
        <f t="shared" si="136"/>
        <v>0</v>
      </c>
      <c r="H438" s="14">
        <f t="shared" si="136"/>
        <v>0</v>
      </c>
    </row>
    <row r="439" spans="1:8" ht="31.5">
      <c r="A439" s="6" t="s">
        <v>19</v>
      </c>
      <c r="B439" s="58" t="s">
        <v>192</v>
      </c>
      <c r="C439" s="177">
        <v>3630120510</v>
      </c>
      <c r="D439" s="177">
        <v>240</v>
      </c>
      <c r="E439" s="178" t="s">
        <v>216</v>
      </c>
      <c r="F439" s="14">
        <v>150</v>
      </c>
      <c r="G439" s="14">
        <v>0</v>
      </c>
      <c r="H439" s="14">
        <v>0</v>
      </c>
    </row>
    <row r="440" spans="1:8">
      <c r="A440" s="6" t="s">
        <v>19</v>
      </c>
      <c r="B440" s="177" t="s">
        <v>38</v>
      </c>
      <c r="C440" s="177" t="s">
        <v>66</v>
      </c>
      <c r="D440" s="177" t="s">
        <v>66</v>
      </c>
      <c r="E440" s="178" t="s">
        <v>99</v>
      </c>
      <c r="F440" s="14">
        <f>F451+F441</f>
        <v>907.6</v>
      </c>
      <c r="G440" s="14">
        <f>G451+G441</f>
        <v>835.30000000000007</v>
      </c>
      <c r="H440" s="14">
        <f>H451+H441</f>
        <v>843.1</v>
      </c>
    </row>
    <row r="441" spans="1:8" ht="47.25">
      <c r="A441" s="6" t="s">
        <v>19</v>
      </c>
      <c r="B441" s="177" t="s">
        <v>38</v>
      </c>
      <c r="C441" s="177">
        <v>3100000000</v>
      </c>
      <c r="D441" s="177"/>
      <c r="E441" s="178" t="s">
        <v>328</v>
      </c>
      <c r="F441" s="14">
        <f>F442</f>
        <v>95.7</v>
      </c>
      <c r="G441" s="14">
        <f>G442</f>
        <v>15.7</v>
      </c>
      <c r="H441" s="14">
        <f>H442</f>
        <v>15.7</v>
      </c>
    </row>
    <row r="442" spans="1:8" ht="31.5">
      <c r="A442" s="6" t="s">
        <v>19</v>
      </c>
      <c r="B442" s="177" t="s">
        <v>38</v>
      </c>
      <c r="C442" s="177">
        <v>3130000000</v>
      </c>
      <c r="D442" s="177"/>
      <c r="E442" s="178" t="s">
        <v>114</v>
      </c>
      <c r="F442" s="14">
        <f>F443+F447</f>
        <v>95.7</v>
      </c>
      <c r="G442" s="14">
        <f>G443+G447</f>
        <v>15.7</v>
      </c>
      <c r="H442" s="14">
        <f>H443+H447</f>
        <v>15.7</v>
      </c>
    </row>
    <row r="443" spans="1:8" ht="31.5">
      <c r="A443" s="6" t="s">
        <v>19</v>
      </c>
      <c r="B443" s="177" t="s">
        <v>38</v>
      </c>
      <c r="C443" s="177">
        <v>3130200000</v>
      </c>
      <c r="D443" s="177"/>
      <c r="E443" s="178" t="s">
        <v>167</v>
      </c>
      <c r="F443" s="14">
        <f>F444</f>
        <v>15.7</v>
      </c>
      <c r="G443" s="14">
        <f t="shared" ref="G443:H445" si="137">G444</f>
        <v>15.7</v>
      </c>
      <c r="H443" s="14">
        <f t="shared" si="137"/>
        <v>15.7</v>
      </c>
    </row>
    <row r="444" spans="1:8" ht="31.5">
      <c r="A444" s="6" t="s">
        <v>19</v>
      </c>
      <c r="B444" s="177" t="s">
        <v>38</v>
      </c>
      <c r="C444" s="177">
        <v>3130220270</v>
      </c>
      <c r="D444" s="177"/>
      <c r="E444" s="178" t="s">
        <v>168</v>
      </c>
      <c r="F444" s="14">
        <f>F445</f>
        <v>15.7</v>
      </c>
      <c r="G444" s="14">
        <f t="shared" si="137"/>
        <v>15.7</v>
      </c>
      <c r="H444" s="14">
        <f t="shared" si="137"/>
        <v>15.7</v>
      </c>
    </row>
    <row r="445" spans="1:8">
      <c r="A445" s="6" t="s">
        <v>19</v>
      </c>
      <c r="B445" s="177" t="s">
        <v>38</v>
      </c>
      <c r="C445" s="177">
        <v>3130220270</v>
      </c>
      <c r="D445" s="177" t="s">
        <v>73</v>
      </c>
      <c r="E445" s="178" t="s">
        <v>74</v>
      </c>
      <c r="F445" s="14">
        <f>F446</f>
        <v>15.7</v>
      </c>
      <c r="G445" s="14">
        <f t="shared" si="137"/>
        <v>15.7</v>
      </c>
      <c r="H445" s="14">
        <f t="shared" si="137"/>
        <v>15.7</v>
      </c>
    </row>
    <row r="446" spans="1:8">
      <c r="A446" s="6" t="s">
        <v>19</v>
      </c>
      <c r="B446" s="177" t="s">
        <v>38</v>
      </c>
      <c r="C446" s="177">
        <v>3130220270</v>
      </c>
      <c r="D446" s="177">
        <v>350</v>
      </c>
      <c r="E446" s="178" t="s">
        <v>149</v>
      </c>
      <c r="F446" s="14">
        <v>15.7</v>
      </c>
      <c r="G446" s="14">
        <v>15.7</v>
      </c>
      <c r="H446" s="14">
        <v>15.7</v>
      </c>
    </row>
    <row r="447" spans="1:8" ht="31.5">
      <c r="A447" s="6" t="s">
        <v>19</v>
      </c>
      <c r="B447" s="177" t="s">
        <v>38</v>
      </c>
      <c r="C447" s="177">
        <v>3130400000</v>
      </c>
      <c r="D447" s="177"/>
      <c r="E447" s="178" t="s">
        <v>136</v>
      </c>
      <c r="F447" s="14">
        <f>F448</f>
        <v>80</v>
      </c>
      <c r="G447" s="14">
        <f t="shared" ref="G447:H449" si="138">G448</f>
        <v>0</v>
      </c>
      <c r="H447" s="14">
        <f t="shared" si="138"/>
        <v>0</v>
      </c>
    </row>
    <row r="448" spans="1:8" ht="31.5">
      <c r="A448" s="6" t="s">
        <v>19</v>
      </c>
      <c r="B448" s="177" t="s">
        <v>38</v>
      </c>
      <c r="C448" s="177">
        <v>3130420290</v>
      </c>
      <c r="D448" s="177"/>
      <c r="E448" s="178" t="s">
        <v>137</v>
      </c>
      <c r="F448" s="14">
        <f>F449</f>
        <v>80</v>
      </c>
      <c r="G448" s="14">
        <f t="shared" si="138"/>
        <v>0</v>
      </c>
      <c r="H448" s="14">
        <f t="shared" si="138"/>
        <v>0</v>
      </c>
    </row>
    <row r="449" spans="1:8" ht="31.5">
      <c r="A449" s="6" t="s">
        <v>19</v>
      </c>
      <c r="B449" s="177" t="s">
        <v>38</v>
      </c>
      <c r="C449" s="177">
        <v>3130420290</v>
      </c>
      <c r="D449" s="177" t="s">
        <v>69</v>
      </c>
      <c r="E449" s="178" t="s">
        <v>95</v>
      </c>
      <c r="F449" s="14">
        <f>F450</f>
        <v>80</v>
      </c>
      <c r="G449" s="14">
        <f t="shared" si="138"/>
        <v>0</v>
      </c>
      <c r="H449" s="14">
        <f t="shared" si="138"/>
        <v>0</v>
      </c>
    </row>
    <row r="450" spans="1:8" ht="31.5">
      <c r="A450" s="6" t="s">
        <v>19</v>
      </c>
      <c r="B450" s="177" t="s">
        <v>38</v>
      </c>
      <c r="C450" s="177">
        <v>3130420290</v>
      </c>
      <c r="D450" s="177">
        <v>240</v>
      </c>
      <c r="E450" s="178" t="s">
        <v>216</v>
      </c>
      <c r="F450" s="14">
        <v>80</v>
      </c>
      <c r="G450" s="14">
        <v>0</v>
      </c>
      <c r="H450" s="14">
        <v>0</v>
      </c>
    </row>
    <row r="451" spans="1:8" ht="47.25">
      <c r="A451" s="6" t="s">
        <v>19</v>
      </c>
      <c r="B451" s="177" t="s">
        <v>38</v>
      </c>
      <c r="C451" s="177">
        <v>3200000000</v>
      </c>
      <c r="D451" s="177"/>
      <c r="E451" s="178" t="s">
        <v>329</v>
      </c>
      <c r="F451" s="14">
        <f>F457+F452</f>
        <v>811.9</v>
      </c>
      <c r="G451" s="14">
        <f t="shared" ref="G451:H451" si="139">G457+G452</f>
        <v>819.6</v>
      </c>
      <c r="H451" s="14">
        <f t="shared" si="139"/>
        <v>827.4</v>
      </c>
    </row>
    <row r="452" spans="1:8" ht="31.5">
      <c r="A452" s="6" t="s">
        <v>19</v>
      </c>
      <c r="B452" s="177" t="s">
        <v>38</v>
      </c>
      <c r="C452" s="177">
        <v>3220000000</v>
      </c>
      <c r="D452" s="177"/>
      <c r="E452" s="178" t="s">
        <v>138</v>
      </c>
      <c r="F452" s="14">
        <f>F453</f>
        <v>752</v>
      </c>
      <c r="G452" s="14">
        <f t="shared" ref="G452:H455" si="140">G453</f>
        <v>759.7</v>
      </c>
      <c r="H452" s="14">
        <f t="shared" si="140"/>
        <v>767.5</v>
      </c>
    </row>
    <row r="453" spans="1:8" ht="47.25">
      <c r="A453" s="177" t="s">
        <v>19</v>
      </c>
      <c r="B453" s="177" t="s">
        <v>38</v>
      </c>
      <c r="C453" s="177">
        <v>3220100000</v>
      </c>
      <c r="D453" s="177"/>
      <c r="E453" s="178" t="s">
        <v>180</v>
      </c>
      <c r="F453" s="14">
        <f>F454</f>
        <v>752</v>
      </c>
      <c r="G453" s="14">
        <f t="shared" si="140"/>
        <v>759.7</v>
      </c>
      <c r="H453" s="14">
        <f t="shared" si="140"/>
        <v>767.5</v>
      </c>
    </row>
    <row r="454" spans="1:8" ht="31.5">
      <c r="A454" s="177" t="s">
        <v>19</v>
      </c>
      <c r="B454" s="177" t="s">
        <v>38</v>
      </c>
      <c r="C454" s="177">
        <v>3220120010</v>
      </c>
      <c r="D454" s="177"/>
      <c r="E454" s="178" t="s">
        <v>123</v>
      </c>
      <c r="F454" s="14">
        <f>F455</f>
        <v>752</v>
      </c>
      <c r="G454" s="14">
        <f t="shared" si="140"/>
        <v>759.7</v>
      </c>
      <c r="H454" s="14">
        <f t="shared" si="140"/>
        <v>767.5</v>
      </c>
    </row>
    <row r="455" spans="1:8" ht="31.5">
      <c r="A455" s="177" t="s">
        <v>19</v>
      </c>
      <c r="B455" s="177" t="s">
        <v>38</v>
      </c>
      <c r="C455" s="177">
        <v>3220120010</v>
      </c>
      <c r="D455" s="177" t="s">
        <v>97</v>
      </c>
      <c r="E455" s="178" t="s">
        <v>98</v>
      </c>
      <c r="F455" s="14">
        <f>F456</f>
        <v>752</v>
      </c>
      <c r="G455" s="14">
        <f t="shared" si="140"/>
        <v>759.7</v>
      </c>
      <c r="H455" s="14">
        <f t="shared" si="140"/>
        <v>767.5</v>
      </c>
    </row>
    <row r="456" spans="1:8">
      <c r="A456" s="177" t="s">
        <v>19</v>
      </c>
      <c r="B456" s="177" t="s">
        <v>38</v>
      </c>
      <c r="C456" s="177">
        <v>3220120010</v>
      </c>
      <c r="D456" s="177">
        <v>610</v>
      </c>
      <c r="E456" s="178" t="s">
        <v>104</v>
      </c>
      <c r="F456" s="14">
        <v>752</v>
      </c>
      <c r="G456" s="14">
        <v>759.7</v>
      </c>
      <c r="H456" s="14">
        <v>767.5</v>
      </c>
    </row>
    <row r="457" spans="1:8" ht="31.5">
      <c r="A457" s="6" t="s">
        <v>19</v>
      </c>
      <c r="B457" s="177" t="s">
        <v>38</v>
      </c>
      <c r="C457" s="177">
        <v>3250000000</v>
      </c>
      <c r="D457" s="7"/>
      <c r="E457" s="178" t="s">
        <v>132</v>
      </c>
      <c r="F457" s="14">
        <f>F458</f>
        <v>59.9</v>
      </c>
      <c r="G457" s="14">
        <f t="shared" ref="G457:H457" si="141">G458</f>
        <v>59.9</v>
      </c>
      <c r="H457" s="14">
        <f t="shared" si="141"/>
        <v>59.9</v>
      </c>
    </row>
    <row r="458" spans="1:8" ht="31.5">
      <c r="A458" s="6" t="s">
        <v>19</v>
      </c>
      <c r="B458" s="177" t="s">
        <v>38</v>
      </c>
      <c r="C458" s="7" t="s">
        <v>346</v>
      </c>
      <c r="D458" s="7"/>
      <c r="E458" s="178" t="s">
        <v>136</v>
      </c>
      <c r="F458" s="14">
        <f>F459+F462</f>
        <v>59.9</v>
      </c>
      <c r="G458" s="14">
        <f t="shared" ref="G458:H458" si="142">G459+G462</f>
        <v>59.9</v>
      </c>
      <c r="H458" s="14">
        <f t="shared" si="142"/>
        <v>59.9</v>
      </c>
    </row>
    <row r="459" spans="1:8" ht="31.5">
      <c r="A459" s="6" t="s">
        <v>19</v>
      </c>
      <c r="B459" s="177" t="s">
        <v>38</v>
      </c>
      <c r="C459" s="7" t="s">
        <v>347</v>
      </c>
      <c r="D459" s="7"/>
      <c r="E459" s="178" t="s">
        <v>134</v>
      </c>
      <c r="F459" s="14">
        <f t="shared" ref="F459:H460" si="143">F460</f>
        <v>23.9</v>
      </c>
      <c r="G459" s="14">
        <f t="shared" si="143"/>
        <v>23.9</v>
      </c>
      <c r="H459" s="14">
        <f t="shared" si="143"/>
        <v>23.9</v>
      </c>
    </row>
    <row r="460" spans="1:8" ht="31.5">
      <c r="A460" s="6" t="s">
        <v>19</v>
      </c>
      <c r="B460" s="177" t="s">
        <v>38</v>
      </c>
      <c r="C460" s="7" t="s">
        <v>347</v>
      </c>
      <c r="D460" s="177" t="s">
        <v>69</v>
      </c>
      <c r="E460" s="178" t="s">
        <v>95</v>
      </c>
      <c r="F460" s="14">
        <f t="shared" si="143"/>
        <v>23.9</v>
      </c>
      <c r="G460" s="14">
        <f t="shared" si="143"/>
        <v>23.9</v>
      </c>
      <c r="H460" s="14">
        <f t="shared" si="143"/>
        <v>23.9</v>
      </c>
    </row>
    <row r="461" spans="1:8" ht="31.5">
      <c r="A461" s="6" t="s">
        <v>19</v>
      </c>
      <c r="B461" s="177" t="s">
        <v>38</v>
      </c>
      <c r="C461" s="7" t="s">
        <v>347</v>
      </c>
      <c r="D461" s="177">
        <v>240</v>
      </c>
      <c r="E461" s="178" t="s">
        <v>216</v>
      </c>
      <c r="F461" s="14">
        <v>23.9</v>
      </c>
      <c r="G461" s="14">
        <v>23.9</v>
      </c>
      <c r="H461" s="14">
        <v>23.9</v>
      </c>
    </row>
    <row r="462" spans="1:8">
      <c r="A462" s="6" t="s">
        <v>19</v>
      </c>
      <c r="B462" s="177" t="s">
        <v>38</v>
      </c>
      <c r="C462" s="7" t="s">
        <v>395</v>
      </c>
      <c r="D462" s="7"/>
      <c r="E462" s="178" t="s">
        <v>135</v>
      </c>
      <c r="F462" s="14">
        <f t="shared" ref="F462:H463" si="144">F463</f>
        <v>36</v>
      </c>
      <c r="G462" s="14">
        <f t="shared" si="144"/>
        <v>36</v>
      </c>
      <c r="H462" s="14">
        <f t="shared" si="144"/>
        <v>36</v>
      </c>
    </row>
    <row r="463" spans="1:8">
      <c r="A463" s="6" t="s">
        <v>19</v>
      </c>
      <c r="B463" s="177" t="s">
        <v>38</v>
      </c>
      <c r="C463" s="7" t="s">
        <v>395</v>
      </c>
      <c r="D463" s="177" t="s">
        <v>73</v>
      </c>
      <c r="E463" s="178" t="s">
        <v>74</v>
      </c>
      <c r="F463" s="14">
        <f t="shared" si="144"/>
        <v>36</v>
      </c>
      <c r="G463" s="14">
        <f t="shared" si="144"/>
        <v>36</v>
      </c>
      <c r="H463" s="14">
        <f t="shared" si="144"/>
        <v>36</v>
      </c>
    </row>
    <row r="464" spans="1:8" ht="31.5">
      <c r="A464" s="6" t="s">
        <v>19</v>
      </c>
      <c r="B464" s="177" t="s">
        <v>38</v>
      </c>
      <c r="C464" s="7" t="s">
        <v>395</v>
      </c>
      <c r="D464" s="7" t="s">
        <v>267</v>
      </c>
      <c r="E464" s="178" t="s">
        <v>268</v>
      </c>
      <c r="F464" s="14">
        <v>36</v>
      </c>
      <c r="G464" s="14">
        <v>36</v>
      </c>
      <c r="H464" s="14">
        <v>36</v>
      </c>
    </row>
    <row r="465" spans="1:8">
      <c r="A465" s="177" t="s">
        <v>19</v>
      </c>
      <c r="B465" s="177" t="s">
        <v>41</v>
      </c>
      <c r="C465" s="177" t="s">
        <v>66</v>
      </c>
      <c r="D465" s="177" t="s">
        <v>66</v>
      </c>
      <c r="E465" s="22" t="s">
        <v>82</v>
      </c>
      <c r="F465" s="14">
        <f>F466</f>
        <v>106580.90000000001</v>
      </c>
      <c r="G465" s="14">
        <f>G466</f>
        <v>113116.9</v>
      </c>
      <c r="H465" s="14">
        <f>H466</f>
        <v>74675.5</v>
      </c>
    </row>
    <row r="466" spans="1:8">
      <c r="A466" s="177" t="s">
        <v>19</v>
      </c>
      <c r="B466" s="177" t="s">
        <v>42</v>
      </c>
      <c r="C466" s="177" t="s">
        <v>66</v>
      </c>
      <c r="D466" s="177" t="s">
        <v>66</v>
      </c>
      <c r="E466" s="178" t="s">
        <v>13</v>
      </c>
      <c r="F466" s="14">
        <f>F473+F506+F467</f>
        <v>106580.90000000001</v>
      </c>
      <c r="G466" s="14">
        <f>G473+G506+G467</f>
        <v>113116.9</v>
      </c>
      <c r="H466" s="14">
        <f>H473+H506+H467</f>
        <v>74675.5</v>
      </c>
    </row>
    <row r="467" spans="1:8" ht="47.25">
      <c r="A467" s="177" t="s">
        <v>19</v>
      </c>
      <c r="B467" s="177" t="s">
        <v>42</v>
      </c>
      <c r="C467" s="177">
        <v>3100000000</v>
      </c>
      <c r="D467" s="30"/>
      <c r="E467" s="178" t="s">
        <v>328</v>
      </c>
      <c r="F467" s="14">
        <f>F468</f>
        <v>490.3</v>
      </c>
      <c r="G467" s="14">
        <f t="shared" ref="G467:H471" si="145">G468</f>
        <v>0</v>
      </c>
      <c r="H467" s="14">
        <f t="shared" si="145"/>
        <v>0</v>
      </c>
    </row>
    <row r="468" spans="1:8" ht="31.5">
      <c r="A468" s="177" t="s">
        <v>19</v>
      </c>
      <c r="B468" s="177" t="s">
        <v>42</v>
      </c>
      <c r="C468" s="177">
        <v>3130000000</v>
      </c>
      <c r="D468" s="30"/>
      <c r="E468" s="178" t="s">
        <v>114</v>
      </c>
      <c r="F468" s="14">
        <f>F469</f>
        <v>490.3</v>
      </c>
      <c r="G468" s="14">
        <f t="shared" si="145"/>
        <v>0</v>
      </c>
      <c r="H468" s="14">
        <f t="shared" si="145"/>
        <v>0</v>
      </c>
    </row>
    <row r="469" spans="1:8" ht="47.25">
      <c r="A469" s="177" t="s">
        <v>19</v>
      </c>
      <c r="B469" s="177" t="s">
        <v>42</v>
      </c>
      <c r="C469" s="177">
        <v>3130300000</v>
      </c>
      <c r="D469" s="30"/>
      <c r="E469" s="178" t="s">
        <v>115</v>
      </c>
      <c r="F469" s="14">
        <f>F470</f>
        <v>490.3</v>
      </c>
      <c r="G469" s="14">
        <f t="shared" si="145"/>
        <v>0</v>
      </c>
      <c r="H469" s="14">
        <f t="shared" si="145"/>
        <v>0</v>
      </c>
    </row>
    <row r="470" spans="1:8" ht="31.5">
      <c r="A470" s="177" t="s">
        <v>19</v>
      </c>
      <c r="B470" s="177" t="s">
        <v>42</v>
      </c>
      <c r="C470" s="177">
        <v>3130320280</v>
      </c>
      <c r="D470" s="30"/>
      <c r="E470" s="178" t="s">
        <v>116</v>
      </c>
      <c r="F470" s="14">
        <f>F471</f>
        <v>490.3</v>
      </c>
      <c r="G470" s="14">
        <f t="shared" si="145"/>
        <v>0</v>
      </c>
      <c r="H470" s="14">
        <f t="shared" si="145"/>
        <v>0</v>
      </c>
    </row>
    <row r="471" spans="1:8" ht="31.5">
      <c r="A471" s="177" t="s">
        <v>19</v>
      </c>
      <c r="B471" s="177" t="s">
        <v>42</v>
      </c>
      <c r="C471" s="177">
        <v>3130320280</v>
      </c>
      <c r="D471" s="177" t="s">
        <v>97</v>
      </c>
      <c r="E471" s="178" t="s">
        <v>98</v>
      </c>
      <c r="F471" s="14">
        <f>F472</f>
        <v>490.3</v>
      </c>
      <c r="G471" s="14">
        <f t="shared" si="145"/>
        <v>0</v>
      </c>
      <c r="H471" s="14">
        <f t="shared" si="145"/>
        <v>0</v>
      </c>
    </row>
    <row r="472" spans="1:8">
      <c r="A472" s="177" t="s">
        <v>19</v>
      </c>
      <c r="B472" s="177" t="s">
        <v>42</v>
      </c>
      <c r="C472" s="177">
        <v>3130320280</v>
      </c>
      <c r="D472" s="177">
        <v>610</v>
      </c>
      <c r="E472" s="178" t="s">
        <v>104</v>
      </c>
      <c r="F472" s="14">
        <v>490.3</v>
      </c>
      <c r="G472" s="14">
        <v>0</v>
      </c>
      <c r="H472" s="14">
        <v>0</v>
      </c>
    </row>
    <row r="473" spans="1:8" ht="47.25">
      <c r="A473" s="177" t="s">
        <v>19</v>
      </c>
      <c r="B473" s="177" t="s">
        <v>42</v>
      </c>
      <c r="C473" s="177">
        <v>3200000000</v>
      </c>
      <c r="D473" s="177"/>
      <c r="E473" s="178" t="s">
        <v>329</v>
      </c>
      <c r="F473" s="14">
        <f>F474+F486</f>
        <v>101836.8</v>
      </c>
      <c r="G473" s="14">
        <f>G474+G486</f>
        <v>109988</v>
      </c>
      <c r="H473" s="14">
        <f>H474+H486</f>
        <v>71546.600000000006</v>
      </c>
    </row>
    <row r="474" spans="1:8" ht="31.5">
      <c r="A474" s="177" t="s">
        <v>19</v>
      </c>
      <c r="B474" s="177" t="s">
        <v>42</v>
      </c>
      <c r="C474" s="177">
        <v>3210000000</v>
      </c>
      <c r="D474" s="177"/>
      <c r="E474" s="178" t="s">
        <v>177</v>
      </c>
      <c r="F474" s="14">
        <f>F475+F482</f>
        <v>23866.799999999999</v>
      </c>
      <c r="G474" s="14">
        <f>G475+G482</f>
        <v>23750.1</v>
      </c>
      <c r="H474" s="14">
        <f>H475+H482</f>
        <v>23750.1</v>
      </c>
    </row>
    <row r="475" spans="1:8" ht="31.5">
      <c r="A475" s="177" t="s">
        <v>19</v>
      </c>
      <c r="B475" s="177" t="s">
        <v>42</v>
      </c>
      <c r="C475" s="177">
        <v>3210100000</v>
      </c>
      <c r="D475" s="177"/>
      <c r="E475" s="178" t="s">
        <v>178</v>
      </c>
      <c r="F475" s="14">
        <f>F476+F479</f>
        <v>23750.1</v>
      </c>
      <c r="G475" s="14">
        <f t="shared" ref="G475:H475" si="146">G476+G479</f>
        <v>23750.1</v>
      </c>
      <c r="H475" s="14">
        <f t="shared" si="146"/>
        <v>23750.1</v>
      </c>
    </row>
    <row r="476" spans="1:8" ht="31.5">
      <c r="A476" s="177" t="s">
        <v>19</v>
      </c>
      <c r="B476" s="177" t="s">
        <v>42</v>
      </c>
      <c r="C476" s="177">
        <v>3210120010</v>
      </c>
      <c r="D476" s="177"/>
      <c r="E476" s="178" t="s">
        <v>123</v>
      </c>
      <c r="F476" s="14">
        <f t="shared" ref="F476:H477" si="147">F477</f>
        <v>8407.7000000000007</v>
      </c>
      <c r="G476" s="14">
        <f t="shared" si="147"/>
        <v>8407.7000000000007</v>
      </c>
      <c r="H476" s="14">
        <f t="shared" si="147"/>
        <v>8407.7000000000007</v>
      </c>
    </row>
    <row r="477" spans="1:8" ht="31.5">
      <c r="A477" s="177" t="s">
        <v>19</v>
      </c>
      <c r="B477" s="177" t="s">
        <v>42</v>
      </c>
      <c r="C477" s="177">
        <v>3210120010</v>
      </c>
      <c r="D477" s="177" t="s">
        <v>97</v>
      </c>
      <c r="E477" s="178" t="s">
        <v>98</v>
      </c>
      <c r="F477" s="14">
        <f t="shared" si="147"/>
        <v>8407.7000000000007</v>
      </c>
      <c r="G477" s="14">
        <f t="shared" si="147"/>
        <v>8407.7000000000007</v>
      </c>
      <c r="H477" s="14">
        <f t="shared" si="147"/>
        <v>8407.7000000000007</v>
      </c>
    </row>
    <row r="478" spans="1:8">
      <c r="A478" s="177" t="s">
        <v>19</v>
      </c>
      <c r="B478" s="177" t="s">
        <v>42</v>
      </c>
      <c r="C478" s="177">
        <v>3210120010</v>
      </c>
      <c r="D478" s="177">
        <v>610</v>
      </c>
      <c r="E478" s="178" t="s">
        <v>104</v>
      </c>
      <c r="F478" s="14">
        <v>8407.7000000000007</v>
      </c>
      <c r="G478" s="14">
        <v>8407.7000000000007</v>
      </c>
      <c r="H478" s="14">
        <v>8407.7000000000007</v>
      </c>
    </row>
    <row r="479" spans="1:8" ht="31.5">
      <c r="A479" s="177" t="s">
        <v>19</v>
      </c>
      <c r="B479" s="177" t="s">
        <v>42</v>
      </c>
      <c r="C479" s="177" t="s">
        <v>348</v>
      </c>
      <c r="D479" s="177"/>
      <c r="E479" s="33" t="s">
        <v>379</v>
      </c>
      <c r="F479" s="14">
        <f t="shared" ref="F479:H480" si="148">F480</f>
        <v>15342.4</v>
      </c>
      <c r="G479" s="14">
        <f t="shared" si="148"/>
        <v>15342.4</v>
      </c>
      <c r="H479" s="14">
        <f t="shared" si="148"/>
        <v>15342.4</v>
      </c>
    </row>
    <row r="480" spans="1:8" ht="31.5">
      <c r="A480" s="177" t="s">
        <v>19</v>
      </c>
      <c r="B480" s="177" t="s">
        <v>42</v>
      </c>
      <c r="C480" s="177" t="s">
        <v>348</v>
      </c>
      <c r="D480" s="177" t="s">
        <v>97</v>
      </c>
      <c r="E480" s="30" t="s">
        <v>98</v>
      </c>
      <c r="F480" s="14">
        <f t="shared" si="148"/>
        <v>15342.4</v>
      </c>
      <c r="G480" s="14">
        <f t="shared" si="148"/>
        <v>15342.4</v>
      </c>
      <c r="H480" s="14">
        <f t="shared" si="148"/>
        <v>15342.4</v>
      </c>
    </row>
    <row r="481" spans="1:8">
      <c r="A481" s="177" t="s">
        <v>19</v>
      </c>
      <c r="B481" s="177" t="s">
        <v>42</v>
      </c>
      <c r="C481" s="177" t="s">
        <v>348</v>
      </c>
      <c r="D481" s="177">
        <v>610</v>
      </c>
      <c r="E481" s="30" t="s">
        <v>104</v>
      </c>
      <c r="F481" s="14">
        <f>15188.9+153.5</f>
        <v>15342.4</v>
      </c>
      <c r="G481" s="14">
        <f>15188.9+153.5</f>
        <v>15342.4</v>
      </c>
      <c r="H481" s="14">
        <f>15188.9+153.5</f>
        <v>15342.4</v>
      </c>
    </row>
    <row r="482" spans="1:8" ht="31.5">
      <c r="A482" s="177" t="s">
        <v>19</v>
      </c>
      <c r="B482" s="177" t="s">
        <v>42</v>
      </c>
      <c r="C482" s="177">
        <v>3210200000</v>
      </c>
      <c r="D482" s="177"/>
      <c r="E482" s="178" t="s">
        <v>179</v>
      </c>
      <c r="F482" s="14">
        <f>F483</f>
        <v>116.7</v>
      </c>
      <c r="G482" s="14">
        <f t="shared" ref="G482:H482" si="149">G483</f>
        <v>0</v>
      </c>
      <c r="H482" s="14">
        <f t="shared" si="149"/>
        <v>0</v>
      </c>
    </row>
    <row r="483" spans="1:8" ht="47.25">
      <c r="A483" s="177" t="s">
        <v>19</v>
      </c>
      <c r="B483" s="177" t="s">
        <v>42</v>
      </c>
      <c r="C483" s="177" t="s">
        <v>349</v>
      </c>
      <c r="D483" s="177"/>
      <c r="E483" s="178" t="s">
        <v>288</v>
      </c>
      <c r="F483" s="14">
        <f t="shared" ref="F483:H484" si="150">F484</f>
        <v>116.7</v>
      </c>
      <c r="G483" s="14">
        <f t="shared" si="150"/>
        <v>0</v>
      </c>
      <c r="H483" s="14">
        <f t="shared" si="150"/>
        <v>0</v>
      </c>
    </row>
    <row r="484" spans="1:8" ht="31.5">
      <c r="A484" s="177" t="s">
        <v>19</v>
      </c>
      <c r="B484" s="177" t="s">
        <v>42</v>
      </c>
      <c r="C484" s="177" t="s">
        <v>349</v>
      </c>
      <c r="D484" s="177" t="s">
        <v>97</v>
      </c>
      <c r="E484" s="178" t="s">
        <v>98</v>
      </c>
      <c r="F484" s="14">
        <f t="shared" si="150"/>
        <v>116.7</v>
      </c>
      <c r="G484" s="14">
        <f t="shared" si="150"/>
        <v>0</v>
      </c>
      <c r="H484" s="14">
        <f t="shared" si="150"/>
        <v>0</v>
      </c>
    </row>
    <row r="485" spans="1:8">
      <c r="A485" s="177" t="s">
        <v>19</v>
      </c>
      <c r="B485" s="177" t="s">
        <v>42</v>
      </c>
      <c r="C485" s="177" t="s">
        <v>349</v>
      </c>
      <c r="D485" s="177">
        <v>610</v>
      </c>
      <c r="E485" s="178" t="s">
        <v>104</v>
      </c>
      <c r="F485" s="14">
        <f>10+1.7+105</f>
        <v>116.7</v>
      </c>
      <c r="G485" s="14">
        <v>0</v>
      </c>
      <c r="H485" s="14">
        <v>0</v>
      </c>
    </row>
    <row r="486" spans="1:8" ht="31.5">
      <c r="A486" s="177" t="s">
        <v>19</v>
      </c>
      <c r="B486" s="177" t="s">
        <v>42</v>
      </c>
      <c r="C486" s="177">
        <v>3220000000</v>
      </c>
      <c r="D486" s="177"/>
      <c r="E486" s="178" t="s">
        <v>138</v>
      </c>
      <c r="F486" s="14">
        <f>F487+F494++F502+F498</f>
        <v>77970</v>
      </c>
      <c r="G486" s="14">
        <f t="shared" ref="G486:H486" si="151">G487+G494++G502+G498</f>
        <v>86237.9</v>
      </c>
      <c r="H486" s="14">
        <f t="shared" si="151"/>
        <v>47796.5</v>
      </c>
    </row>
    <row r="487" spans="1:8" ht="47.25">
      <c r="A487" s="177" t="s">
        <v>19</v>
      </c>
      <c r="B487" s="177" t="s">
        <v>42</v>
      </c>
      <c r="C487" s="177">
        <v>3220100000</v>
      </c>
      <c r="D487" s="177"/>
      <c r="E487" s="178" t="s">
        <v>180</v>
      </c>
      <c r="F487" s="14">
        <f>F488+F491</f>
        <v>48123.8</v>
      </c>
      <c r="G487" s="14">
        <f t="shared" ref="G487:H487" si="152">G488+G491</f>
        <v>47796.5</v>
      </c>
      <c r="H487" s="14">
        <f t="shared" si="152"/>
        <v>47796.5</v>
      </c>
    </row>
    <row r="488" spans="1:8" ht="31.5">
      <c r="A488" s="177" t="s">
        <v>19</v>
      </c>
      <c r="B488" s="177" t="s">
        <v>42</v>
      </c>
      <c r="C488" s="177">
        <v>3220120010</v>
      </c>
      <c r="D488" s="177"/>
      <c r="E488" s="178" t="s">
        <v>123</v>
      </c>
      <c r="F488" s="14">
        <f t="shared" ref="F488:H489" si="153">F489</f>
        <v>16211.3</v>
      </c>
      <c r="G488" s="14">
        <f t="shared" si="153"/>
        <v>15884</v>
      </c>
      <c r="H488" s="14">
        <f t="shared" si="153"/>
        <v>15884</v>
      </c>
    </row>
    <row r="489" spans="1:8" ht="31.5">
      <c r="A489" s="177" t="s">
        <v>19</v>
      </c>
      <c r="B489" s="177" t="s">
        <v>42</v>
      </c>
      <c r="C489" s="177">
        <v>3220120010</v>
      </c>
      <c r="D489" s="177" t="s">
        <v>97</v>
      </c>
      <c r="E489" s="178" t="s">
        <v>98</v>
      </c>
      <c r="F489" s="14">
        <f t="shared" si="153"/>
        <v>16211.3</v>
      </c>
      <c r="G489" s="14">
        <f t="shared" si="153"/>
        <v>15884</v>
      </c>
      <c r="H489" s="14">
        <f t="shared" si="153"/>
        <v>15884</v>
      </c>
    </row>
    <row r="490" spans="1:8">
      <c r="A490" s="177" t="s">
        <v>19</v>
      </c>
      <c r="B490" s="177" t="s">
        <v>42</v>
      </c>
      <c r="C490" s="177">
        <v>3220120010</v>
      </c>
      <c r="D490" s="177">
        <v>610</v>
      </c>
      <c r="E490" s="178" t="s">
        <v>104</v>
      </c>
      <c r="F490" s="14">
        <f>15884+327.3</f>
        <v>16211.3</v>
      </c>
      <c r="G490" s="14">
        <v>15884</v>
      </c>
      <c r="H490" s="14">
        <v>15884</v>
      </c>
    </row>
    <row r="491" spans="1:8" ht="31.5">
      <c r="A491" s="177" t="s">
        <v>19</v>
      </c>
      <c r="B491" s="177" t="s">
        <v>42</v>
      </c>
      <c r="C491" s="177" t="s">
        <v>350</v>
      </c>
      <c r="D491" s="177"/>
      <c r="E491" s="33" t="s">
        <v>379</v>
      </c>
      <c r="F491" s="14">
        <f t="shared" ref="F491:H492" si="154">F492</f>
        <v>31912.5</v>
      </c>
      <c r="G491" s="14">
        <f t="shared" si="154"/>
        <v>31912.5</v>
      </c>
      <c r="H491" s="14">
        <f t="shared" si="154"/>
        <v>31912.5</v>
      </c>
    </row>
    <row r="492" spans="1:8" ht="31.5">
      <c r="A492" s="177" t="s">
        <v>19</v>
      </c>
      <c r="B492" s="177" t="s">
        <v>42</v>
      </c>
      <c r="C492" s="177" t="s">
        <v>350</v>
      </c>
      <c r="D492" s="177" t="s">
        <v>97</v>
      </c>
      <c r="E492" s="30" t="s">
        <v>98</v>
      </c>
      <c r="F492" s="14">
        <f t="shared" si="154"/>
        <v>31912.5</v>
      </c>
      <c r="G492" s="14">
        <f t="shared" si="154"/>
        <v>31912.5</v>
      </c>
      <c r="H492" s="14">
        <f t="shared" si="154"/>
        <v>31912.5</v>
      </c>
    </row>
    <row r="493" spans="1:8">
      <c r="A493" s="177" t="s">
        <v>19</v>
      </c>
      <c r="B493" s="177" t="s">
        <v>42</v>
      </c>
      <c r="C493" s="177" t="s">
        <v>350</v>
      </c>
      <c r="D493" s="177">
        <v>610</v>
      </c>
      <c r="E493" s="30" t="s">
        <v>104</v>
      </c>
      <c r="F493" s="14">
        <f>31592.8+319.7</f>
        <v>31912.5</v>
      </c>
      <c r="G493" s="14">
        <f>31592.8+319.7</f>
        <v>31912.5</v>
      </c>
      <c r="H493" s="14">
        <f>31592.8+319.7</f>
        <v>31912.5</v>
      </c>
    </row>
    <row r="494" spans="1:8" ht="31.5">
      <c r="A494" s="177" t="s">
        <v>19</v>
      </c>
      <c r="B494" s="177" t="s">
        <v>42</v>
      </c>
      <c r="C494" s="177">
        <v>3220200000</v>
      </c>
      <c r="D494" s="177"/>
      <c r="E494" s="178" t="s">
        <v>181</v>
      </c>
      <c r="F494" s="14">
        <f>F495</f>
        <v>966.3</v>
      </c>
      <c r="G494" s="14">
        <f t="shared" ref="G494:H496" si="155">G495</f>
        <v>0</v>
      </c>
      <c r="H494" s="14">
        <f t="shared" si="155"/>
        <v>0</v>
      </c>
    </row>
    <row r="495" spans="1:8">
      <c r="A495" s="177" t="s">
        <v>19</v>
      </c>
      <c r="B495" s="177" t="s">
        <v>42</v>
      </c>
      <c r="C495" s="177">
        <v>3220220320</v>
      </c>
      <c r="D495" s="177"/>
      <c r="E495" s="178" t="s">
        <v>139</v>
      </c>
      <c r="F495" s="14">
        <f>F496</f>
        <v>966.3</v>
      </c>
      <c r="G495" s="14">
        <f t="shared" si="155"/>
        <v>0</v>
      </c>
      <c r="H495" s="14">
        <f t="shared" si="155"/>
        <v>0</v>
      </c>
    </row>
    <row r="496" spans="1:8" ht="31.5">
      <c r="A496" s="177" t="s">
        <v>19</v>
      </c>
      <c r="B496" s="177" t="s">
        <v>42</v>
      </c>
      <c r="C496" s="177">
        <v>3220220320</v>
      </c>
      <c r="D496" s="177" t="s">
        <v>97</v>
      </c>
      <c r="E496" s="178" t="s">
        <v>98</v>
      </c>
      <c r="F496" s="14">
        <f>F497</f>
        <v>966.3</v>
      </c>
      <c r="G496" s="14">
        <f t="shared" si="155"/>
        <v>0</v>
      </c>
      <c r="H496" s="14">
        <f t="shared" si="155"/>
        <v>0</v>
      </c>
    </row>
    <row r="497" spans="1:8">
      <c r="A497" s="177" t="s">
        <v>19</v>
      </c>
      <c r="B497" s="177" t="s">
        <v>42</v>
      </c>
      <c r="C497" s="177">
        <v>3220220320</v>
      </c>
      <c r="D497" s="177">
        <v>610</v>
      </c>
      <c r="E497" s="178" t="s">
        <v>104</v>
      </c>
      <c r="F497" s="14">
        <v>966.3</v>
      </c>
      <c r="G497" s="14">
        <v>0</v>
      </c>
      <c r="H497" s="14">
        <v>0</v>
      </c>
    </row>
    <row r="498" spans="1:8" ht="63">
      <c r="A498" s="177" t="s">
        <v>19</v>
      </c>
      <c r="B498" s="177" t="s">
        <v>42</v>
      </c>
      <c r="C498" s="177">
        <v>3220400000</v>
      </c>
      <c r="D498" s="177"/>
      <c r="E498" s="30" t="s">
        <v>440</v>
      </c>
      <c r="F498" s="14">
        <f>F499</f>
        <v>134.19999999999999</v>
      </c>
      <c r="G498" s="14">
        <f t="shared" ref="G498:H500" si="156">G499</f>
        <v>0</v>
      </c>
      <c r="H498" s="14">
        <f t="shared" si="156"/>
        <v>0</v>
      </c>
    </row>
    <row r="499" spans="1:8" ht="31.5">
      <c r="A499" s="177" t="s">
        <v>19</v>
      </c>
      <c r="B499" s="177" t="s">
        <v>42</v>
      </c>
      <c r="C499" s="177">
        <v>3220420020</v>
      </c>
      <c r="D499" s="177"/>
      <c r="E499" s="30" t="s">
        <v>319</v>
      </c>
      <c r="F499" s="14">
        <f>F500</f>
        <v>134.19999999999999</v>
      </c>
      <c r="G499" s="14">
        <f t="shared" si="156"/>
        <v>0</v>
      </c>
      <c r="H499" s="14">
        <f t="shared" si="156"/>
        <v>0</v>
      </c>
    </row>
    <row r="500" spans="1:8" ht="31.5">
      <c r="A500" s="177" t="s">
        <v>19</v>
      </c>
      <c r="B500" s="177" t="s">
        <v>42</v>
      </c>
      <c r="C500" s="177">
        <v>3220420020</v>
      </c>
      <c r="D500" s="177" t="s">
        <v>97</v>
      </c>
      <c r="E500" s="30" t="s">
        <v>98</v>
      </c>
      <c r="F500" s="14">
        <f>F501</f>
        <v>134.19999999999999</v>
      </c>
      <c r="G500" s="14">
        <f t="shared" si="156"/>
        <v>0</v>
      </c>
      <c r="H500" s="14">
        <f t="shared" si="156"/>
        <v>0</v>
      </c>
    </row>
    <row r="501" spans="1:8">
      <c r="A501" s="177" t="s">
        <v>19</v>
      </c>
      <c r="B501" s="177" t="s">
        <v>42</v>
      </c>
      <c r="C501" s="177">
        <v>3220420020</v>
      </c>
      <c r="D501" s="177">
        <v>610</v>
      </c>
      <c r="E501" s="30" t="s">
        <v>104</v>
      </c>
      <c r="F501" s="14">
        <v>134.19999999999999</v>
      </c>
      <c r="G501" s="14">
        <v>0</v>
      </c>
      <c r="H501" s="14">
        <v>0</v>
      </c>
    </row>
    <row r="502" spans="1:8" ht="47.25">
      <c r="A502" s="177" t="s">
        <v>19</v>
      </c>
      <c r="B502" s="177" t="s">
        <v>42</v>
      </c>
      <c r="C502" s="177" t="s">
        <v>397</v>
      </c>
      <c r="D502" s="177"/>
      <c r="E502" s="30" t="s">
        <v>396</v>
      </c>
      <c r="F502" s="14">
        <f>F503</f>
        <v>28745.7</v>
      </c>
      <c r="G502" s="14">
        <f t="shared" ref="G502:H504" si="157">G503</f>
        <v>38441.4</v>
      </c>
      <c r="H502" s="14">
        <f t="shared" si="157"/>
        <v>0</v>
      </c>
    </row>
    <row r="503" spans="1:8" ht="31.5">
      <c r="A503" s="177" t="s">
        <v>19</v>
      </c>
      <c r="B503" s="177" t="s">
        <v>42</v>
      </c>
      <c r="C503" s="177" t="s">
        <v>423</v>
      </c>
      <c r="D503" s="177"/>
      <c r="E503" s="30" t="s">
        <v>398</v>
      </c>
      <c r="F503" s="14">
        <f>F504</f>
        <v>28745.7</v>
      </c>
      <c r="G503" s="14">
        <f t="shared" si="157"/>
        <v>38441.4</v>
      </c>
      <c r="H503" s="14">
        <f t="shared" si="157"/>
        <v>0</v>
      </c>
    </row>
    <row r="504" spans="1:8" ht="31.5">
      <c r="A504" s="177" t="s">
        <v>19</v>
      </c>
      <c r="B504" s="177" t="s">
        <v>42</v>
      </c>
      <c r="C504" s="177" t="s">
        <v>423</v>
      </c>
      <c r="D504" s="177" t="s">
        <v>69</v>
      </c>
      <c r="E504" s="178" t="s">
        <v>95</v>
      </c>
      <c r="F504" s="14">
        <f>F505</f>
        <v>28745.7</v>
      </c>
      <c r="G504" s="14">
        <f t="shared" si="157"/>
        <v>38441.4</v>
      </c>
      <c r="H504" s="14">
        <f t="shared" si="157"/>
        <v>0</v>
      </c>
    </row>
    <row r="505" spans="1:8" ht="31.5">
      <c r="A505" s="177" t="s">
        <v>19</v>
      </c>
      <c r="B505" s="177" t="s">
        <v>42</v>
      </c>
      <c r="C505" s="177" t="s">
        <v>423</v>
      </c>
      <c r="D505" s="177">
        <v>240</v>
      </c>
      <c r="E505" s="178" t="s">
        <v>216</v>
      </c>
      <c r="F505" s="14">
        <f>28458.2+287.5</f>
        <v>28745.7</v>
      </c>
      <c r="G505" s="14">
        <f>38056.9+384.4+0.1</f>
        <v>38441.4</v>
      </c>
      <c r="H505" s="14">
        <v>0</v>
      </c>
    </row>
    <row r="506" spans="1:8" ht="31.5">
      <c r="A506" s="177" t="s">
        <v>19</v>
      </c>
      <c r="B506" s="177" t="s">
        <v>42</v>
      </c>
      <c r="C506" s="177">
        <v>3500000000</v>
      </c>
      <c r="D506" s="177"/>
      <c r="E506" s="178" t="s">
        <v>330</v>
      </c>
      <c r="F506" s="14">
        <f>F507</f>
        <v>4253.8</v>
      </c>
      <c r="G506" s="14">
        <f>G507</f>
        <v>3128.9</v>
      </c>
      <c r="H506" s="14">
        <f>H507</f>
        <v>3128.9</v>
      </c>
    </row>
    <row r="507" spans="1:8" ht="31.5">
      <c r="A507" s="177" t="s">
        <v>19</v>
      </c>
      <c r="B507" s="177" t="s">
        <v>42</v>
      </c>
      <c r="C507" s="177">
        <v>3520000000</v>
      </c>
      <c r="D507" s="177"/>
      <c r="E507" s="178" t="s">
        <v>228</v>
      </c>
      <c r="F507" s="14">
        <f>F508+F512+F516</f>
        <v>4253.8</v>
      </c>
      <c r="G507" s="14">
        <f>G508+G512+G516</f>
        <v>3128.9</v>
      </c>
      <c r="H507" s="14">
        <f>H508+H512+H516</f>
        <v>3128.9</v>
      </c>
    </row>
    <row r="508" spans="1:8" ht="31.5">
      <c r="A508" s="177" t="s">
        <v>19</v>
      </c>
      <c r="B508" s="177" t="s">
        <v>42</v>
      </c>
      <c r="C508" s="177">
        <v>3520300000</v>
      </c>
      <c r="D508" s="177"/>
      <c r="E508" s="30" t="s">
        <v>264</v>
      </c>
      <c r="F508" s="14">
        <f>F509</f>
        <v>477.1</v>
      </c>
      <c r="G508" s="14">
        <f t="shared" ref="G508:H508" si="158">G509</f>
        <v>320.39999999999998</v>
      </c>
      <c r="H508" s="14">
        <f t="shared" si="158"/>
        <v>320.39999999999998</v>
      </c>
    </row>
    <row r="509" spans="1:8">
      <c r="A509" s="177" t="s">
        <v>19</v>
      </c>
      <c r="B509" s="177" t="s">
        <v>42</v>
      </c>
      <c r="C509" s="177">
        <v>3520320300</v>
      </c>
      <c r="D509" s="177"/>
      <c r="E509" s="30" t="s">
        <v>265</v>
      </c>
      <c r="F509" s="14">
        <f>F510</f>
        <v>477.1</v>
      </c>
      <c r="G509" s="14">
        <f t="shared" ref="G509:H510" si="159">G510</f>
        <v>320.39999999999998</v>
      </c>
      <c r="H509" s="14">
        <f t="shared" si="159"/>
        <v>320.39999999999998</v>
      </c>
    </row>
    <row r="510" spans="1:8" ht="31.5">
      <c r="A510" s="177" t="s">
        <v>19</v>
      </c>
      <c r="B510" s="177" t="s">
        <v>42</v>
      </c>
      <c r="C510" s="177">
        <v>3520320300</v>
      </c>
      <c r="D510" s="177" t="s">
        <v>97</v>
      </c>
      <c r="E510" s="30" t="s">
        <v>98</v>
      </c>
      <c r="F510" s="14">
        <f>F511</f>
        <v>477.1</v>
      </c>
      <c r="G510" s="14">
        <f t="shared" si="159"/>
        <v>320.39999999999998</v>
      </c>
      <c r="H510" s="14">
        <f t="shared" si="159"/>
        <v>320.39999999999998</v>
      </c>
    </row>
    <row r="511" spans="1:8">
      <c r="A511" s="177" t="s">
        <v>19</v>
      </c>
      <c r="B511" s="177" t="s">
        <v>42</v>
      </c>
      <c r="C511" s="177">
        <v>3520320300</v>
      </c>
      <c r="D511" s="177">
        <v>610</v>
      </c>
      <c r="E511" s="30" t="s">
        <v>104</v>
      </c>
      <c r="F511" s="14">
        <f>452.1+25</f>
        <v>477.1</v>
      </c>
      <c r="G511" s="14">
        <v>320.39999999999998</v>
      </c>
      <c r="H511" s="14">
        <v>320.39999999999998</v>
      </c>
    </row>
    <row r="512" spans="1:8" ht="31.5">
      <c r="A512" s="177" t="s">
        <v>19</v>
      </c>
      <c r="B512" s="177" t="s">
        <v>42</v>
      </c>
      <c r="C512" s="177">
        <v>3520400000</v>
      </c>
      <c r="D512" s="177"/>
      <c r="E512" s="178" t="s">
        <v>270</v>
      </c>
      <c r="F512" s="14">
        <f>F513</f>
        <v>104.9</v>
      </c>
      <c r="G512" s="14">
        <f t="shared" ref="G512:H514" si="160">G513</f>
        <v>107.5</v>
      </c>
      <c r="H512" s="14">
        <f t="shared" si="160"/>
        <v>107.5</v>
      </c>
    </row>
    <row r="513" spans="1:8">
      <c r="A513" s="177" t="s">
        <v>19</v>
      </c>
      <c r="B513" s="177" t="s">
        <v>42</v>
      </c>
      <c r="C513" s="177">
        <v>3520420300</v>
      </c>
      <c r="D513" s="177"/>
      <c r="E513" s="178" t="s">
        <v>271</v>
      </c>
      <c r="F513" s="14">
        <f>F514</f>
        <v>104.9</v>
      </c>
      <c r="G513" s="14">
        <f t="shared" si="160"/>
        <v>107.5</v>
      </c>
      <c r="H513" s="14">
        <f t="shared" si="160"/>
        <v>107.5</v>
      </c>
    </row>
    <row r="514" spans="1:8" ht="31.5">
      <c r="A514" s="177" t="s">
        <v>19</v>
      </c>
      <c r="B514" s="177" t="s">
        <v>42</v>
      </c>
      <c r="C514" s="177">
        <v>3520420300</v>
      </c>
      <c r="D514" s="177" t="s">
        <v>97</v>
      </c>
      <c r="E514" s="30" t="s">
        <v>98</v>
      </c>
      <c r="F514" s="14">
        <f>F515</f>
        <v>104.9</v>
      </c>
      <c r="G514" s="14">
        <f t="shared" si="160"/>
        <v>107.5</v>
      </c>
      <c r="H514" s="14">
        <f t="shared" si="160"/>
        <v>107.5</v>
      </c>
    </row>
    <row r="515" spans="1:8">
      <c r="A515" s="177" t="s">
        <v>19</v>
      </c>
      <c r="B515" s="177" t="s">
        <v>42</v>
      </c>
      <c r="C515" s="177">
        <v>3520420300</v>
      </c>
      <c r="D515" s="177">
        <v>610</v>
      </c>
      <c r="E515" s="30" t="s">
        <v>104</v>
      </c>
      <c r="F515" s="14">
        <f>129.9-25</f>
        <v>104.9</v>
      </c>
      <c r="G515" s="14">
        <v>107.5</v>
      </c>
      <c r="H515" s="14">
        <v>107.5</v>
      </c>
    </row>
    <row r="516" spans="1:8" ht="31.5">
      <c r="A516" s="177" t="s">
        <v>19</v>
      </c>
      <c r="B516" s="177" t="s">
        <v>42</v>
      </c>
      <c r="C516" s="177">
        <v>3520500000</v>
      </c>
      <c r="D516" s="177"/>
      <c r="E516" s="178" t="s">
        <v>269</v>
      </c>
      <c r="F516" s="14">
        <f>F517</f>
        <v>3671.8</v>
      </c>
      <c r="G516" s="14">
        <f t="shared" ref="G516:H518" si="161">G517</f>
        <v>2701</v>
      </c>
      <c r="H516" s="14">
        <f t="shared" si="161"/>
        <v>2701</v>
      </c>
    </row>
    <row r="517" spans="1:8">
      <c r="A517" s="177" t="s">
        <v>19</v>
      </c>
      <c r="B517" s="177" t="s">
        <v>42</v>
      </c>
      <c r="C517" s="177">
        <v>3520520200</v>
      </c>
      <c r="D517" s="177"/>
      <c r="E517" s="178" t="s">
        <v>252</v>
      </c>
      <c r="F517" s="14">
        <f>F518</f>
        <v>3671.8</v>
      </c>
      <c r="G517" s="14">
        <f t="shared" si="161"/>
        <v>2701</v>
      </c>
      <c r="H517" s="14">
        <f t="shared" si="161"/>
        <v>2701</v>
      </c>
    </row>
    <row r="518" spans="1:8" ht="31.5">
      <c r="A518" s="177" t="s">
        <v>19</v>
      </c>
      <c r="B518" s="177" t="s">
        <v>42</v>
      </c>
      <c r="C518" s="177">
        <v>3520520200</v>
      </c>
      <c r="D518" s="177" t="s">
        <v>97</v>
      </c>
      <c r="E518" s="30" t="s">
        <v>98</v>
      </c>
      <c r="F518" s="14">
        <f>F519</f>
        <v>3671.8</v>
      </c>
      <c r="G518" s="14">
        <f t="shared" si="161"/>
        <v>2701</v>
      </c>
      <c r="H518" s="14">
        <f t="shared" si="161"/>
        <v>2701</v>
      </c>
    </row>
    <row r="519" spans="1:8">
      <c r="A519" s="177" t="s">
        <v>19</v>
      </c>
      <c r="B519" s="177" t="s">
        <v>42</v>
      </c>
      <c r="C519" s="177">
        <v>3520520200</v>
      </c>
      <c r="D519" s="177">
        <v>610</v>
      </c>
      <c r="E519" s="30" t="s">
        <v>104</v>
      </c>
      <c r="F519" s="14">
        <v>3671.8</v>
      </c>
      <c r="G519" s="14">
        <v>2701</v>
      </c>
      <c r="H519" s="14">
        <v>2701</v>
      </c>
    </row>
    <row r="520" spans="1:8">
      <c r="A520" s="177" t="s">
        <v>19</v>
      </c>
      <c r="B520" s="177" t="s">
        <v>39</v>
      </c>
      <c r="C520" s="177" t="s">
        <v>66</v>
      </c>
      <c r="D520" s="177" t="s">
        <v>66</v>
      </c>
      <c r="E520" s="22" t="s">
        <v>31</v>
      </c>
      <c r="F520" s="14">
        <f>F521+F530+F543</f>
        <v>4708.8999999999996</v>
      </c>
      <c r="G520" s="14">
        <f>G521+G530+G543</f>
        <v>1932.5999999999997</v>
      </c>
      <c r="H520" s="14">
        <f>H521+H530+H543</f>
        <v>1239.7999999999997</v>
      </c>
    </row>
    <row r="521" spans="1:8">
      <c r="A521" s="177" t="s">
        <v>19</v>
      </c>
      <c r="B521" s="177" t="s">
        <v>53</v>
      </c>
      <c r="C521" s="177" t="s">
        <v>66</v>
      </c>
      <c r="D521" s="177" t="s">
        <v>66</v>
      </c>
      <c r="E521" s="178" t="s">
        <v>32</v>
      </c>
      <c r="F521" s="14">
        <f>F522</f>
        <v>1119.6999999999998</v>
      </c>
      <c r="G521" s="14">
        <f t="shared" ref="G521:H524" si="162">G522</f>
        <v>1119.6999999999998</v>
      </c>
      <c r="H521" s="14">
        <f t="shared" si="162"/>
        <v>1119.6999999999998</v>
      </c>
    </row>
    <row r="522" spans="1:8" ht="47.25">
      <c r="A522" s="177" t="s">
        <v>19</v>
      </c>
      <c r="B522" s="177" t="s">
        <v>53</v>
      </c>
      <c r="C522" s="177">
        <v>3200000000</v>
      </c>
      <c r="D522" s="177"/>
      <c r="E522" s="178" t="s">
        <v>329</v>
      </c>
      <c r="F522" s="14">
        <f>F523</f>
        <v>1119.6999999999998</v>
      </c>
      <c r="G522" s="14">
        <f t="shared" si="162"/>
        <v>1119.6999999999998</v>
      </c>
      <c r="H522" s="14">
        <f t="shared" si="162"/>
        <v>1119.6999999999998</v>
      </c>
    </row>
    <row r="523" spans="1:8" ht="31.5">
      <c r="A523" s="177" t="s">
        <v>19</v>
      </c>
      <c r="B523" s="177" t="s">
        <v>53</v>
      </c>
      <c r="C523" s="177">
        <v>3250000000</v>
      </c>
      <c r="D523" s="177"/>
      <c r="E523" s="178" t="s">
        <v>132</v>
      </c>
      <c r="F523" s="14">
        <f>F524</f>
        <v>1119.6999999999998</v>
      </c>
      <c r="G523" s="14">
        <f t="shared" si="162"/>
        <v>1119.6999999999998</v>
      </c>
      <c r="H523" s="14">
        <f t="shared" si="162"/>
        <v>1119.6999999999998</v>
      </c>
    </row>
    <row r="524" spans="1:8">
      <c r="A524" s="177" t="s">
        <v>19</v>
      </c>
      <c r="B524" s="177" t="s">
        <v>53</v>
      </c>
      <c r="C524" s="177">
        <v>3250400000</v>
      </c>
      <c r="D524" s="177"/>
      <c r="E524" s="178" t="s">
        <v>182</v>
      </c>
      <c r="F524" s="14">
        <f>F525</f>
        <v>1119.6999999999998</v>
      </c>
      <c r="G524" s="14">
        <f t="shared" si="162"/>
        <v>1119.6999999999998</v>
      </c>
      <c r="H524" s="14">
        <f t="shared" si="162"/>
        <v>1119.6999999999998</v>
      </c>
    </row>
    <row r="525" spans="1:8" ht="47.25">
      <c r="A525" s="177" t="s">
        <v>19</v>
      </c>
      <c r="B525" s="177" t="s">
        <v>53</v>
      </c>
      <c r="C525" s="177">
        <v>3250420390</v>
      </c>
      <c r="D525" s="177"/>
      <c r="E525" s="178" t="s">
        <v>67</v>
      </c>
      <c r="F525" s="14">
        <f>F526+F528</f>
        <v>1119.6999999999998</v>
      </c>
      <c r="G525" s="14">
        <f>G526+G528</f>
        <v>1119.6999999999998</v>
      </c>
      <c r="H525" s="14">
        <f>H526+H528</f>
        <v>1119.6999999999998</v>
      </c>
    </row>
    <row r="526" spans="1:8" ht="31.5">
      <c r="A526" s="177" t="s">
        <v>19</v>
      </c>
      <c r="B526" s="177" t="s">
        <v>53</v>
      </c>
      <c r="C526" s="177">
        <v>3250420390</v>
      </c>
      <c r="D526" s="177" t="s">
        <v>69</v>
      </c>
      <c r="E526" s="178" t="s">
        <v>95</v>
      </c>
      <c r="F526" s="14">
        <f>F527</f>
        <v>32.6</v>
      </c>
      <c r="G526" s="14">
        <f>G527</f>
        <v>32.6</v>
      </c>
      <c r="H526" s="14">
        <f>H527</f>
        <v>32.6</v>
      </c>
    </row>
    <row r="527" spans="1:8" ht="31.5">
      <c r="A527" s="177" t="s">
        <v>19</v>
      </c>
      <c r="B527" s="177" t="s">
        <v>53</v>
      </c>
      <c r="C527" s="177">
        <v>3250420390</v>
      </c>
      <c r="D527" s="177">
        <v>240</v>
      </c>
      <c r="E527" s="178" t="s">
        <v>216</v>
      </c>
      <c r="F527" s="14">
        <v>32.6</v>
      </c>
      <c r="G527" s="14">
        <v>32.6</v>
      </c>
      <c r="H527" s="14">
        <v>32.6</v>
      </c>
    </row>
    <row r="528" spans="1:8">
      <c r="A528" s="177" t="s">
        <v>19</v>
      </c>
      <c r="B528" s="177" t="s">
        <v>53</v>
      </c>
      <c r="C528" s="177">
        <v>3250420390</v>
      </c>
      <c r="D528" s="177" t="s">
        <v>73</v>
      </c>
      <c r="E528" s="178" t="s">
        <v>74</v>
      </c>
      <c r="F528" s="14">
        <f>F529</f>
        <v>1087.0999999999999</v>
      </c>
      <c r="G528" s="14">
        <f>G529</f>
        <v>1087.0999999999999</v>
      </c>
      <c r="H528" s="14">
        <f>H529</f>
        <v>1087.0999999999999</v>
      </c>
    </row>
    <row r="529" spans="1:8">
      <c r="A529" s="177" t="s">
        <v>19</v>
      </c>
      <c r="B529" s="177" t="s">
        <v>53</v>
      </c>
      <c r="C529" s="177">
        <v>3250420390</v>
      </c>
      <c r="D529" s="177" t="s">
        <v>140</v>
      </c>
      <c r="E529" s="178" t="s">
        <v>141</v>
      </c>
      <c r="F529" s="14">
        <v>1087.0999999999999</v>
      </c>
      <c r="G529" s="14">
        <v>1087.0999999999999</v>
      </c>
      <c r="H529" s="14">
        <v>1087.0999999999999</v>
      </c>
    </row>
    <row r="530" spans="1:8">
      <c r="A530" s="177" t="s">
        <v>19</v>
      </c>
      <c r="B530" s="177" t="s">
        <v>40</v>
      </c>
      <c r="C530" s="177" t="s">
        <v>66</v>
      </c>
      <c r="D530" s="177" t="s">
        <v>66</v>
      </c>
      <c r="E530" s="178" t="s">
        <v>34</v>
      </c>
      <c r="F530" s="14">
        <f>F531</f>
        <v>620.1</v>
      </c>
      <c r="G530" s="14">
        <f>G531</f>
        <v>120.1</v>
      </c>
      <c r="H530" s="14">
        <f t="shared" ref="G530:H533" si="163">H531</f>
        <v>120.1</v>
      </c>
    </row>
    <row r="531" spans="1:8" ht="47.25">
      <c r="A531" s="177" t="s">
        <v>19</v>
      </c>
      <c r="B531" s="177" t="s">
        <v>40</v>
      </c>
      <c r="C531" s="177">
        <v>3200000000</v>
      </c>
      <c r="D531" s="177"/>
      <c r="E531" s="178" t="s">
        <v>329</v>
      </c>
      <c r="F531" s="14">
        <f>F532</f>
        <v>620.1</v>
      </c>
      <c r="G531" s="14">
        <f t="shared" si="163"/>
        <v>120.1</v>
      </c>
      <c r="H531" s="14">
        <f t="shared" si="163"/>
        <v>120.1</v>
      </c>
    </row>
    <row r="532" spans="1:8" ht="31.5">
      <c r="A532" s="177" t="s">
        <v>19</v>
      </c>
      <c r="B532" s="177" t="s">
        <v>40</v>
      </c>
      <c r="C532" s="177">
        <v>3250000000</v>
      </c>
      <c r="D532" s="177"/>
      <c r="E532" s="178" t="s">
        <v>132</v>
      </c>
      <c r="F532" s="14">
        <f>F533+F537</f>
        <v>620.1</v>
      </c>
      <c r="G532" s="14">
        <f>G533+G537</f>
        <v>120.1</v>
      </c>
      <c r="H532" s="14">
        <f>H533+H537</f>
        <v>120.1</v>
      </c>
    </row>
    <row r="533" spans="1:8" ht="31.5">
      <c r="A533" s="177" t="s">
        <v>19</v>
      </c>
      <c r="B533" s="177" t="s">
        <v>40</v>
      </c>
      <c r="C533" s="177">
        <v>3250100000</v>
      </c>
      <c r="D533" s="177"/>
      <c r="E533" s="178" t="s">
        <v>183</v>
      </c>
      <c r="F533" s="14">
        <f>F534</f>
        <v>500</v>
      </c>
      <c r="G533" s="14">
        <f t="shared" si="163"/>
        <v>0</v>
      </c>
      <c r="H533" s="14">
        <f t="shared" si="163"/>
        <v>0</v>
      </c>
    </row>
    <row r="534" spans="1:8" ht="31.5">
      <c r="A534" s="177" t="s">
        <v>19</v>
      </c>
      <c r="B534" s="177" t="s">
        <v>40</v>
      </c>
      <c r="C534" s="177">
        <v>3250120330</v>
      </c>
      <c r="D534" s="177"/>
      <c r="E534" s="178" t="s">
        <v>142</v>
      </c>
      <c r="F534" s="14">
        <f>F535</f>
        <v>500</v>
      </c>
      <c r="G534" s="14">
        <f>G535</f>
        <v>0</v>
      </c>
      <c r="H534" s="14">
        <f>H535</f>
        <v>0</v>
      </c>
    </row>
    <row r="535" spans="1:8" ht="31.5">
      <c r="A535" s="177" t="s">
        <v>19</v>
      </c>
      <c r="B535" s="177" t="s">
        <v>40</v>
      </c>
      <c r="C535" s="177">
        <v>3250120330</v>
      </c>
      <c r="D535" s="177" t="s">
        <v>97</v>
      </c>
      <c r="E535" s="178" t="s">
        <v>98</v>
      </c>
      <c r="F535" s="14">
        <f>F536</f>
        <v>500</v>
      </c>
      <c r="G535" s="14">
        <f>G536</f>
        <v>0</v>
      </c>
      <c r="H535" s="14">
        <f>H536</f>
        <v>0</v>
      </c>
    </row>
    <row r="536" spans="1:8" ht="31.5">
      <c r="A536" s="177" t="s">
        <v>19</v>
      </c>
      <c r="B536" s="177" t="s">
        <v>40</v>
      </c>
      <c r="C536" s="177">
        <v>3250120330</v>
      </c>
      <c r="D536" s="177">
        <v>630</v>
      </c>
      <c r="E536" s="178" t="s">
        <v>143</v>
      </c>
      <c r="F536" s="14">
        <v>500</v>
      </c>
      <c r="G536" s="14">
        <v>0</v>
      </c>
      <c r="H536" s="14">
        <v>0</v>
      </c>
    </row>
    <row r="537" spans="1:8" ht="31.5">
      <c r="A537" s="177" t="s">
        <v>19</v>
      </c>
      <c r="B537" s="177" t="s">
        <v>40</v>
      </c>
      <c r="C537" s="177">
        <v>3250200000</v>
      </c>
      <c r="D537" s="177"/>
      <c r="E537" s="178" t="s">
        <v>144</v>
      </c>
      <c r="F537" s="14">
        <f>F538</f>
        <v>120.1</v>
      </c>
      <c r="G537" s="14">
        <f>G538</f>
        <v>120.1</v>
      </c>
      <c r="H537" s="14">
        <f>H538</f>
        <v>120.1</v>
      </c>
    </row>
    <row r="538" spans="1:8" ht="31.5">
      <c r="A538" s="177" t="s">
        <v>19</v>
      </c>
      <c r="B538" s="177" t="s">
        <v>40</v>
      </c>
      <c r="C538" s="177">
        <v>3250220350</v>
      </c>
      <c r="D538" s="177"/>
      <c r="E538" s="178" t="s">
        <v>184</v>
      </c>
      <c r="F538" s="14">
        <f>F539+F541</f>
        <v>120.1</v>
      </c>
      <c r="G538" s="14">
        <f>G539+G541</f>
        <v>120.1</v>
      </c>
      <c r="H538" s="14">
        <f>H539+H541</f>
        <v>120.1</v>
      </c>
    </row>
    <row r="539" spans="1:8" ht="31.5">
      <c r="A539" s="177" t="s">
        <v>19</v>
      </c>
      <c r="B539" s="177" t="s">
        <v>40</v>
      </c>
      <c r="C539" s="177">
        <v>3250220350</v>
      </c>
      <c r="D539" s="177" t="s">
        <v>69</v>
      </c>
      <c r="E539" s="178" t="s">
        <v>95</v>
      </c>
      <c r="F539" s="14">
        <f>F540</f>
        <v>4.0999999999999996</v>
      </c>
      <c r="G539" s="14">
        <f>G540</f>
        <v>4.0999999999999996</v>
      </c>
      <c r="H539" s="14">
        <f>H540</f>
        <v>4.0999999999999996</v>
      </c>
    </row>
    <row r="540" spans="1:8" ht="31.5">
      <c r="A540" s="177" t="s">
        <v>19</v>
      </c>
      <c r="B540" s="177" t="s">
        <v>40</v>
      </c>
      <c r="C540" s="177">
        <v>3250220350</v>
      </c>
      <c r="D540" s="177">
        <v>240</v>
      </c>
      <c r="E540" s="178" t="s">
        <v>216</v>
      </c>
      <c r="F540" s="14">
        <v>4.0999999999999996</v>
      </c>
      <c r="G540" s="14">
        <v>4.0999999999999996</v>
      </c>
      <c r="H540" s="14">
        <v>4.0999999999999996</v>
      </c>
    </row>
    <row r="541" spans="1:8">
      <c r="A541" s="177" t="s">
        <v>19</v>
      </c>
      <c r="B541" s="177" t="s">
        <v>40</v>
      </c>
      <c r="C541" s="177">
        <v>3250220350</v>
      </c>
      <c r="D541" s="177" t="s">
        <v>73</v>
      </c>
      <c r="E541" s="178" t="s">
        <v>74</v>
      </c>
      <c r="F541" s="14">
        <f>F542</f>
        <v>116</v>
      </c>
      <c r="G541" s="14">
        <f>G542</f>
        <v>116</v>
      </c>
      <c r="H541" s="14">
        <f>H542</f>
        <v>116</v>
      </c>
    </row>
    <row r="542" spans="1:8">
      <c r="A542" s="177" t="s">
        <v>19</v>
      </c>
      <c r="B542" s="177" t="s">
        <v>40</v>
      </c>
      <c r="C542" s="177">
        <v>3250220350</v>
      </c>
      <c r="D542" s="177" t="s">
        <v>140</v>
      </c>
      <c r="E542" s="178" t="s">
        <v>141</v>
      </c>
      <c r="F542" s="14">
        <v>116</v>
      </c>
      <c r="G542" s="14">
        <v>116</v>
      </c>
      <c r="H542" s="14">
        <v>116</v>
      </c>
    </row>
    <row r="543" spans="1:8">
      <c r="A543" s="177" t="s">
        <v>19</v>
      </c>
      <c r="B543" s="177">
        <v>1004</v>
      </c>
      <c r="C543" s="102"/>
      <c r="D543" s="102"/>
      <c r="E543" s="178" t="s">
        <v>85</v>
      </c>
      <c r="F543" s="14">
        <f>F544</f>
        <v>2969.1000000000004</v>
      </c>
      <c r="G543" s="14">
        <f t="shared" ref="G543:H546" si="164">G544</f>
        <v>692.8</v>
      </c>
      <c r="H543" s="14">
        <f t="shared" si="164"/>
        <v>0</v>
      </c>
    </row>
    <row r="544" spans="1:8" ht="47.25">
      <c r="A544" s="177" t="s">
        <v>19</v>
      </c>
      <c r="B544" s="177">
        <v>1004</v>
      </c>
      <c r="C544" s="177">
        <v>3200000000</v>
      </c>
      <c r="D544" s="177"/>
      <c r="E544" s="178" t="s">
        <v>329</v>
      </c>
      <c r="F544" s="14">
        <f>F545</f>
        <v>2969.1000000000004</v>
      </c>
      <c r="G544" s="14">
        <f t="shared" si="164"/>
        <v>692.8</v>
      </c>
      <c r="H544" s="14">
        <f t="shared" si="164"/>
        <v>0</v>
      </c>
    </row>
    <row r="545" spans="1:8" ht="31.5">
      <c r="A545" s="177" t="s">
        <v>19</v>
      </c>
      <c r="B545" s="177">
        <v>1004</v>
      </c>
      <c r="C545" s="177">
        <v>3260000000</v>
      </c>
      <c r="D545" s="177"/>
      <c r="E545" s="178" t="s">
        <v>351</v>
      </c>
      <c r="F545" s="14">
        <f>F546</f>
        <v>2969.1000000000004</v>
      </c>
      <c r="G545" s="14">
        <f t="shared" si="164"/>
        <v>692.8</v>
      </c>
      <c r="H545" s="14">
        <f t="shared" si="164"/>
        <v>0</v>
      </c>
    </row>
    <row r="546" spans="1:8">
      <c r="A546" s="177" t="s">
        <v>19</v>
      </c>
      <c r="B546" s="177">
        <v>1004</v>
      </c>
      <c r="C546" s="177">
        <v>3260100000</v>
      </c>
      <c r="D546" s="177"/>
      <c r="E546" s="178" t="s">
        <v>352</v>
      </c>
      <c r="F546" s="14">
        <f>F547</f>
        <v>2969.1000000000004</v>
      </c>
      <c r="G546" s="14">
        <f t="shared" si="164"/>
        <v>692.8</v>
      </c>
      <c r="H546" s="14">
        <f t="shared" si="164"/>
        <v>0</v>
      </c>
    </row>
    <row r="547" spans="1:8" ht="31.5">
      <c r="A547" s="177" t="s">
        <v>19</v>
      </c>
      <c r="B547" s="177">
        <v>1004</v>
      </c>
      <c r="C547" s="177" t="s">
        <v>353</v>
      </c>
      <c r="D547" s="177"/>
      <c r="E547" s="178" t="s">
        <v>215</v>
      </c>
      <c r="F547" s="14">
        <f t="shared" ref="F547:H548" si="165">F548</f>
        <v>2969.1000000000004</v>
      </c>
      <c r="G547" s="14">
        <f t="shared" si="165"/>
        <v>692.8</v>
      </c>
      <c r="H547" s="14">
        <f t="shared" si="165"/>
        <v>0</v>
      </c>
    </row>
    <row r="548" spans="1:8">
      <c r="A548" s="177" t="s">
        <v>19</v>
      </c>
      <c r="B548" s="177">
        <v>1004</v>
      </c>
      <c r="C548" s="177" t="s">
        <v>353</v>
      </c>
      <c r="D548" s="1" t="s">
        <v>73</v>
      </c>
      <c r="E548" s="26" t="s">
        <v>74</v>
      </c>
      <c r="F548" s="14">
        <f t="shared" si="165"/>
        <v>2969.1000000000004</v>
      </c>
      <c r="G548" s="14">
        <f t="shared" si="165"/>
        <v>692.8</v>
      </c>
      <c r="H548" s="14">
        <f t="shared" si="165"/>
        <v>0</v>
      </c>
    </row>
    <row r="549" spans="1:8" ht="31.5">
      <c r="A549" s="177" t="s">
        <v>19</v>
      </c>
      <c r="B549" s="177">
        <v>1004</v>
      </c>
      <c r="C549" s="177" t="s">
        <v>353</v>
      </c>
      <c r="D549" s="1" t="s">
        <v>101</v>
      </c>
      <c r="E549" s="26" t="s">
        <v>102</v>
      </c>
      <c r="F549" s="14">
        <f>692.8+2375.3-99</f>
        <v>2969.1000000000004</v>
      </c>
      <c r="G549" s="14">
        <v>692.8</v>
      </c>
      <c r="H549" s="14">
        <v>0</v>
      </c>
    </row>
    <row r="550" spans="1:8">
      <c r="A550" s="177" t="s">
        <v>19</v>
      </c>
      <c r="B550" s="177" t="s">
        <v>61</v>
      </c>
      <c r="C550" s="177" t="s">
        <v>66</v>
      </c>
      <c r="D550" s="177" t="s">
        <v>66</v>
      </c>
      <c r="E550" s="178" t="s">
        <v>30</v>
      </c>
      <c r="F550" s="14">
        <f>F558+F600+F551</f>
        <v>54876.600000000006</v>
      </c>
      <c r="G550" s="14">
        <f t="shared" ref="G550:H550" si="166">G558+G600+G551</f>
        <v>52879.100000000006</v>
      </c>
      <c r="H550" s="14">
        <f t="shared" si="166"/>
        <v>52727.1</v>
      </c>
    </row>
    <row r="551" spans="1:8">
      <c r="A551" s="177" t="s">
        <v>19</v>
      </c>
      <c r="B551" s="177">
        <v>1101</v>
      </c>
      <c r="C551" s="177"/>
      <c r="D551" s="177"/>
      <c r="E551" s="178" t="s">
        <v>378</v>
      </c>
      <c r="F551" s="14">
        <f t="shared" ref="F551:F556" si="167">F552</f>
        <v>412.5</v>
      </c>
      <c r="G551" s="14">
        <f t="shared" ref="G551:H551" si="168">G552</f>
        <v>412.5</v>
      </c>
      <c r="H551" s="14">
        <f t="shared" si="168"/>
        <v>412.5</v>
      </c>
    </row>
    <row r="552" spans="1:8" ht="47.25">
      <c r="A552" s="177" t="s">
        <v>19</v>
      </c>
      <c r="B552" s="177">
        <v>1101</v>
      </c>
      <c r="C552" s="177">
        <v>3200000000</v>
      </c>
      <c r="D552" s="177"/>
      <c r="E552" s="178" t="s">
        <v>329</v>
      </c>
      <c r="F552" s="14">
        <f t="shared" si="167"/>
        <v>412.5</v>
      </c>
      <c r="G552" s="14">
        <f t="shared" ref="G552:H556" si="169">G553</f>
        <v>412.5</v>
      </c>
      <c r="H552" s="14">
        <f t="shared" si="169"/>
        <v>412.5</v>
      </c>
    </row>
    <row r="553" spans="1:8" ht="31.5">
      <c r="A553" s="177" t="s">
        <v>19</v>
      </c>
      <c r="B553" s="177">
        <v>1101</v>
      </c>
      <c r="C553" s="177">
        <v>3240000000</v>
      </c>
      <c r="D553" s="177"/>
      <c r="E553" s="178" t="s">
        <v>231</v>
      </c>
      <c r="F553" s="14">
        <f t="shared" si="167"/>
        <v>412.5</v>
      </c>
      <c r="G553" s="14">
        <f t="shared" si="169"/>
        <v>412.5</v>
      </c>
      <c r="H553" s="14">
        <f t="shared" si="169"/>
        <v>412.5</v>
      </c>
    </row>
    <row r="554" spans="1:8" ht="47.25">
      <c r="A554" s="177" t="s">
        <v>19</v>
      </c>
      <c r="B554" s="177">
        <v>1101</v>
      </c>
      <c r="C554" s="177">
        <v>3240100000</v>
      </c>
      <c r="D554" s="177"/>
      <c r="E554" s="178" t="s">
        <v>232</v>
      </c>
      <c r="F554" s="14">
        <f t="shared" si="167"/>
        <v>412.5</v>
      </c>
      <c r="G554" s="14">
        <f t="shared" si="169"/>
        <v>412.5</v>
      </c>
      <c r="H554" s="14">
        <f t="shared" si="169"/>
        <v>412.5</v>
      </c>
    </row>
    <row r="555" spans="1:8" ht="31.5">
      <c r="A555" s="177" t="s">
        <v>19</v>
      </c>
      <c r="B555" s="177">
        <v>1101</v>
      </c>
      <c r="C555" s="177">
        <v>3240120010</v>
      </c>
      <c r="D555" s="177"/>
      <c r="E555" s="178" t="s">
        <v>123</v>
      </c>
      <c r="F555" s="14">
        <f t="shared" si="167"/>
        <v>412.5</v>
      </c>
      <c r="G555" s="14">
        <f t="shared" si="169"/>
        <v>412.5</v>
      </c>
      <c r="H555" s="14">
        <f t="shared" si="169"/>
        <v>412.5</v>
      </c>
    </row>
    <row r="556" spans="1:8" ht="31.5">
      <c r="A556" s="177" t="s">
        <v>19</v>
      </c>
      <c r="B556" s="177">
        <v>1101</v>
      </c>
      <c r="C556" s="177">
        <v>3240120010</v>
      </c>
      <c r="D556" s="177" t="s">
        <v>97</v>
      </c>
      <c r="E556" s="178" t="s">
        <v>98</v>
      </c>
      <c r="F556" s="14">
        <f t="shared" si="167"/>
        <v>412.5</v>
      </c>
      <c r="G556" s="14">
        <f t="shared" si="169"/>
        <v>412.5</v>
      </c>
      <c r="H556" s="14">
        <f t="shared" si="169"/>
        <v>412.5</v>
      </c>
    </row>
    <row r="557" spans="1:8">
      <c r="A557" s="177" t="s">
        <v>19</v>
      </c>
      <c r="B557" s="177">
        <v>1101</v>
      </c>
      <c r="C557" s="177">
        <v>3240120010</v>
      </c>
      <c r="D557" s="177">
        <v>610</v>
      </c>
      <c r="E557" s="178" t="s">
        <v>104</v>
      </c>
      <c r="F557" s="14">
        <v>412.5</v>
      </c>
      <c r="G557" s="14">
        <v>412.5</v>
      </c>
      <c r="H557" s="14">
        <v>412.5</v>
      </c>
    </row>
    <row r="558" spans="1:8">
      <c r="A558" s="177" t="s">
        <v>19</v>
      </c>
      <c r="B558" s="177" t="s">
        <v>86</v>
      </c>
      <c r="C558" s="177" t="s">
        <v>66</v>
      </c>
      <c r="D558" s="177" t="s">
        <v>66</v>
      </c>
      <c r="E558" s="178" t="s">
        <v>62</v>
      </c>
      <c r="F558" s="14">
        <f>F559+F586</f>
        <v>24391</v>
      </c>
      <c r="G558" s="14">
        <f>G559+G586</f>
        <v>23704.600000000002</v>
      </c>
      <c r="H558" s="14">
        <f>H559+H586</f>
        <v>23255.599999999999</v>
      </c>
    </row>
    <row r="559" spans="1:8" ht="47.25">
      <c r="A559" s="177" t="s">
        <v>19</v>
      </c>
      <c r="B559" s="177" t="s">
        <v>86</v>
      </c>
      <c r="C559" s="177">
        <v>3200000000</v>
      </c>
      <c r="D559" s="177"/>
      <c r="E559" s="178" t="s">
        <v>329</v>
      </c>
      <c r="F559" s="14">
        <f>F560</f>
        <v>24155</v>
      </c>
      <c r="G559" s="14">
        <f>G560</f>
        <v>23468.600000000002</v>
      </c>
      <c r="H559" s="14">
        <f>H560</f>
        <v>23019.599999999999</v>
      </c>
    </row>
    <row r="560" spans="1:8">
      <c r="A560" s="177" t="s">
        <v>19</v>
      </c>
      <c r="B560" s="177" t="s">
        <v>86</v>
      </c>
      <c r="C560" s="177">
        <v>3230000000</v>
      </c>
      <c r="D560" s="177"/>
      <c r="E560" s="178" t="s">
        <v>186</v>
      </c>
      <c r="F560" s="14">
        <f>F561+F565+F569+F582</f>
        <v>24155</v>
      </c>
      <c r="G560" s="14">
        <f t="shared" ref="G560:H560" si="170">G561+G565+G569+G582</f>
        <v>23468.600000000002</v>
      </c>
      <c r="H560" s="14">
        <f t="shared" si="170"/>
        <v>23019.599999999999</v>
      </c>
    </row>
    <row r="561" spans="1:8" ht="47.25">
      <c r="A561" s="177" t="s">
        <v>19</v>
      </c>
      <c r="B561" s="177" t="s">
        <v>86</v>
      </c>
      <c r="C561" s="177">
        <v>3230100000</v>
      </c>
      <c r="D561" s="177"/>
      <c r="E561" s="178" t="s">
        <v>187</v>
      </c>
      <c r="F561" s="14">
        <f t="shared" ref="F561:H563" si="171">F562</f>
        <v>20222.599999999999</v>
      </c>
      <c r="G561" s="14">
        <f t="shared" si="171"/>
        <v>20440.5</v>
      </c>
      <c r="H561" s="14">
        <f t="shared" si="171"/>
        <v>20667.099999999999</v>
      </c>
    </row>
    <row r="562" spans="1:8" ht="31.5">
      <c r="A562" s="177" t="s">
        <v>19</v>
      </c>
      <c r="B562" s="1" t="s">
        <v>86</v>
      </c>
      <c r="C562" s="177">
        <v>3230120010</v>
      </c>
      <c r="D562" s="177"/>
      <c r="E562" s="178" t="s">
        <v>123</v>
      </c>
      <c r="F562" s="14">
        <f t="shared" si="171"/>
        <v>20222.599999999999</v>
      </c>
      <c r="G562" s="14">
        <f t="shared" si="171"/>
        <v>20440.5</v>
      </c>
      <c r="H562" s="14">
        <f t="shared" si="171"/>
        <v>20667.099999999999</v>
      </c>
    </row>
    <row r="563" spans="1:8" ht="31.5">
      <c r="A563" s="177" t="s">
        <v>19</v>
      </c>
      <c r="B563" s="1" t="s">
        <v>86</v>
      </c>
      <c r="C563" s="177">
        <v>3230120010</v>
      </c>
      <c r="D563" s="177" t="s">
        <v>97</v>
      </c>
      <c r="E563" s="178" t="s">
        <v>98</v>
      </c>
      <c r="F563" s="14">
        <f t="shared" si="171"/>
        <v>20222.599999999999</v>
      </c>
      <c r="G563" s="14">
        <f t="shared" si="171"/>
        <v>20440.5</v>
      </c>
      <c r="H563" s="14">
        <f t="shared" si="171"/>
        <v>20667.099999999999</v>
      </c>
    </row>
    <row r="564" spans="1:8">
      <c r="A564" s="177" t="s">
        <v>19</v>
      </c>
      <c r="B564" s="177" t="s">
        <v>86</v>
      </c>
      <c r="C564" s="177">
        <v>3230120010</v>
      </c>
      <c r="D564" s="177">
        <v>610</v>
      </c>
      <c r="E564" s="178" t="s">
        <v>104</v>
      </c>
      <c r="F564" s="14">
        <v>20222.599999999999</v>
      </c>
      <c r="G564" s="14">
        <v>20440.5</v>
      </c>
      <c r="H564" s="14">
        <v>20667.099999999999</v>
      </c>
    </row>
    <row r="565" spans="1:8" ht="63">
      <c r="A565" s="177" t="s">
        <v>19</v>
      </c>
      <c r="B565" s="177" t="s">
        <v>86</v>
      </c>
      <c r="C565" s="177">
        <v>3230200000</v>
      </c>
      <c r="D565" s="177"/>
      <c r="E565" s="178" t="s">
        <v>188</v>
      </c>
      <c r="F565" s="14">
        <f>F566</f>
        <v>404.7</v>
      </c>
      <c r="G565" s="14">
        <f t="shared" ref="G565:H567" si="172">G566</f>
        <v>404.7</v>
      </c>
      <c r="H565" s="14">
        <f t="shared" si="172"/>
        <v>404.7</v>
      </c>
    </row>
    <row r="566" spans="1:8">
      <c r="A566" s="177" t="s">
        <v>19</v>
      </c>
      <c r="B566" s="177" t="s">
        <v>86</v>
      </c>
      <c r="C566" s="177">
        <v>3230220040</v>
      </c>
      <c r="D566" s="177"/>
      <c r="E566" s="178" t="s">
        <v>189</v>
      </c>
      <c r="F566" s="14">
        <f>F567</f>
        <v>404.7</v>
      </c>
      <c r="G566" s="14">
        <f t="shared" si="172"/>
        <v>404.7</v>
      </c>
      <c r="H566" s="14">
        <f t="shared" si="172"/>
        <v>404.7</v>
      </c>
    </row>
    <row r="567" spans="1:8" ht="31.5">
      <c r="A567" s="177" t="s">
        <v>19</v>
      </c>
      <c r="B567" s="177" t="s">
        <v>86</v>
      </c>
      <c r="C567" s="177">
        <v>3230220040</v>
      </c>
      <c r="D567" s="177" t="s">
        <v>97</v>
      </c>
      <c r="E567" s="178" t="s">
        <v>98</v>
      </c>
      <c r="F567" s="14">
        <f>F568</f>
        <v>404.7</v>
      </c>
      <c r="G567" s="14">
        <f t="shared" si="172"/>
        <v>404.7</v>
      </c>
      <c r="H567" s="14">
        <f t="shared" si="172"/>
        <v>404.7</v>
      </c>
    </row>
    <row r="568" spans="1:8">
      <c r="A568" s="177" t="s">
        <v>19</v>
      </c>
      <c r="B568" s="177" t="s">
        <v>86</v>
      </c>
      <c r="C568" s="177">
        <v>3230220040</v>
      </c>
      <c r="D568" s="177">
        <v>610</v>
      </c>
      <c r="E568" s="178" t="s">
        <v>104</v>
      </c>
      <c r="F568" s="14">
        <v>404.7</v>
      </c>
      <c r="G568" s="14">
        <v>404.7</v>
      </c>
      <c r="H568" s="14">
        <v>404.7</v>
      </c>
    </row>
    <row r="569" spans="1:8" ht="31.5">
      <c r="A569" s="177" t="s">
        <v>19</v>
      </c>
      <c r="B569" s="177" t="s">
        <v>86</v>
      </c>
      <c r="C569" s="177">
        <v>3230300000</v>
      </c>
      <c r="D569" s="177"/>
      <c r="E569" s="178" t="s">
        <v>190</v>
      </c>
      <c r="F569" s="14">
        <f>F570+F577</f>
        <v>2623.5</v>
      </c>
      <c r="G569" s="14">
        <f>G570+G577</f>
        <v>2623.4</v>
      </c>
      <c r="H569" s="14">
        <f>H570+H577</f>
        <v>1947.8000000000002</v>
      </c>
    </row>
    <row r="570" spans="1:8" ht="31.5">
      <c r="A570" s="177" t="s">
        <v>19</v>
      </c>
      <c r="B570" s="177" t="s">
        <v>86</v>
      </c>
      <c r="C570" s="177">
        <v>3230320300</v>
      </c>
      <c r="D570" s="177"/>
      <c r="E570" s="178" t="s">
        <v>191</v>
      </c>
      <c r="F570" s="14">
        <f>F572+F574+F576</f>
        <v>1198.7</v>
      </c>
      <c r="G570" s="14">
        <f>G572+G574+G576</f>
        <v>1048.7</v>
      </c>
      <c r="H570" s="14">
        <f>H572+H574+H576</f>
        <v>1048.7</v>
      </c>
    </row>
    <row r="571" spans="1:8" ht="63">
      <c r="A571" s="177" t="s">
        <v>19</v>
      </c>
      <c r="B571" s="177" t="s">
        <v>86</v>
      </c>
      <c r="C571" s="177">
        <v>3230320300</v>
      </c>
      <c r="D571" s="177" t="s">
        <v>68</v>
      </c>
      <c r="E571" s="178" t="s">
        <v>1</v>
      </c>
      <c r="F571" s="14">
        <f>F572</f>
        <v>379.2</v>
      </c>
      <c r="G571" s="14">
        <f>G572</f>
        <v>379.2</v>
      </c>
      <c r="H571" s="14">
        <f>H572</f>
        <v>379.2</v>
      </c>
    </row>
    <row r="572" spans="1:8" ht="31.5">
      <c r="A572" s="177" t="s">
        <v>19</v>
      </c>
      <c r="B572" s="177" t="s">
        <v>86</v>
      </c>
      <c r="C572" s="177">
        <v>3230320300</v>
      </c>
      <c r="D572" s="177">
        <v>120</v>
      </c>
      <c r="E572" s="178" t="s">
        <v>217</v>
      </c>
      <c r="F572" s="14">
        <v>379.2</v>
      </c>
      <c r="G572" s="14">
        <v>379.2</v>
      </c>
      <c r="H572" s="14">
        <v>379.2</v>
      </c>
    </row>
    <row r="573" spans="1:8" ht="31.5">
      <c r="A573" s="177" t="s">
        <v>19</v>
      </c>
      <c r="B573" s="177" t="s">
        <v>86</v>
      </c>
      <c r="C573" s="177">
        <v>3230320300</v>
      </c>
      <c r="D573" s="177" t="s">
        <v>69</v>
      </c>
      <c r="E573" s="178" t="s">
        <v>95</v>
      </c>
      <c r="F573" s="14">
        <f>F574</f>
        <v>640.1</v>
      </c>
      <c r="G573" s="14">
        <f>G574</f>
        <v>490.1</v>
      </c>
      <c r="H573" s="14">
        <f>H574</f>
        <v>490.1</v>
      </c>
    </row>
    <row r="574" spans="1:8" ht="31.5">
      <c r="A574" s="177" t="s">
        <v>19</v>
      </c>
      <c r="B574" s="177" t="s">
        <v>86</v>
      </c>
      <c r="C574" s="177">
        <v>3230320300</v>
      </c>
      <c r="D574" s="177">
        <v>240</v>
      </c>
      <c r="E574" s="178" t="s">
        <v>216</v>
      </c>
      <c r="F574" s="14">
        <f>490.1+150</f>
        <v>640.1</v>
      </c>
      <c r="G574" s="14">
        <v>490.1</v>
      </c>
      <c r="H574" s="14">
        <v>490.1</v>
      </c>
    </row>
    <row r="575" spans="1:8">
      <c r="A575" s="177" t="s">
        <v>19</v>
      </c>
      <c r="B575" s="177" t="s">
        <v>86</v>
      </c>
      <c r="C575" s="177">
        <v>3230320300</v>
      </c>
      <c r="D575" s="177" t="s">
        <v>70</v>
      </c>
      <c r="E575" s="178" t="s">
        <v>71</v>
      </c>
      <c r="F575" s="14">
        <f>F576</f>
        <v>179.4</v>
      </c>
      <c r="G575" s="14">
        <f>G576</f>
        <v>179.4</v>
      </c>
      <c r="H575" s="14">
        <f>H576</f>
        <v>179.4</v>
      </c>
    </row>
    <row r="576" spans="1:8">
      <c r="A576" s="177" t="s">
        <v>19</v>
      </c>
      <c r="B576" s="177" t="s">
        <v>86</v>
      </c>
      <c r="C576" s="177">
        <v>3230320300</v>
      </c>
      <c r="D576" s="177">
        <v>850</v>
      </c>
      <c r="E576" s="178" t="s">
        <v>100</v>
      </c>
      <c r="F576" s="14">
        <v>179.4</v>
      </c>
      <c r="G576" s="14">
        <v>179.4</v>
      </c>
      <c r="H576" s="14">
        <v>179.4</v>
      </c>
    </row>
    <row r="577" spans="1:8">
      <c r="A577" s="177" t="s">
        <v>19</v>
      </c>
      <c r="B577" s="177" t="s">
        <v>86</v>
      </c>
      <c r="C577" s="177">
        <v>3230320320</v>
      </c>
      <c r="D577" s="177"/>
      <c r="E577" s="178" t="s">
        <v>139</v>
      </c>
      <c r="F577" s="14">
        <f>F578+F580</f>
        <v>1424.8000000000002</v>
      </c>
      <c r="G577" s="14">
        <f t="shared" ref="G577:H577" si="173">G578+G580</f>
        <v>1574.7</v>
      </c>
      <c r="H577" s="14">
        <f t="shared" si="173"/>
        <v>899.1</v>
      </c>
    </row>
    <row r="578" spans="1:8" ht="31.5">
      <c r="A578" s="177" t="s">
        <v>19</v>
      </c>
      <c r="B578" s="177" t="s">
        <v>86</v>
      </c>
      <c r="C578" s="177">
        <v>3230320320</v>
      </c>
      <c r="D578" s="177" t="s">
        <v>69</v>
      </c>
      <c r="E578" s="178" t="s">
        <v>95</v>
      </c>
      <c r="F578" s="14">
        <f>F579</f>
        <v>749.1</v>
      </c>
      <c r="G578" s="14">
        <f>G579</f>
        <v>899</v>
      </c>
      <c r="H578" s="14">
        <f>H579</f>
        <v>899.1</v>
      </c>
    </row>
    <row r="579" spans="1:8" ht="31.5">
      <c r="A579" s="177" t="s">
        <v>19</v>
      </c>
      <c r="B579" s="177" t="s">
        <v>86</v>
      </c>
      <c r="C579" s="177">
        <v>3230320320</v>
      </c>
      <c r="D579" s="177">
        <v>240</v>
      </c>
      <c r="E579" s="178" t="s">
        <v>216</v>
      </c>
      <c r="F579" s="14">
        <f>899.1-150</f>
        <v>749.1</v>
      </c>
      <c r="G579" s="14">
        <f>899.1-0.1</f>
        <v>899</v>
      </c>
      <c r="H579" s="14">
        <v>899.1</v>
      </c>
    </row>
    <row r="580" spans="1:8" ht="31.5">
      <c r="A580" s="177" t="s">
        <v>19</v>
      </c>
      <c r="B580" s="177" t="s">
        <v>86</v>
      </c>
      <c r="C580" s="177">
        <v>3230320320</v>
      </c>
      <c r="D580" s="177" t="s">
        <v>97</v>
      </c>
      <c r="E580" s="178" t="s">
        <v>98</v>
      </c>
      <c r="F580" s="14">
        <f>F581</f>
        <v>675.7</v>
      </c>
      <c r="G580" s="14">
        <f>G581</f>
        <v>675.7</v>
      </c>
      <c r="H580" s="14">
        <f>H581</f>
        <v>0</v>
      </c>
    </row>
    <row r="581" spans="1:8">
      <c r="A581" s="177" t="s">
        <v>19</v>
      </c>
      <c r="B581" s="177" t="s">
        <v>86</v>
      </c>
      <c r="C581" s="177">
        <v>3230320320</v>
      </c>
      <c r="D581" s="177">
        <v>610</v>
      </c>
      <c r="E581" s="178" t="s">
        <v>104</v>
      </c>
      <c r="F581" s="14">
        <f>675.7</f>
        <v>675.7</v>
      </c>
      <c r="G581" s="14">
        <v>675.7</v>
      </c>
      <c r="H581" s="14">
        <v>0</v>
      </c>
    </row>
    <row r="582" spans="1:8">
      <c r="A582" s="177" t="s">
        <v>19</v>
      </c>
      <c r="B582" s="177" t="s">
        <v>86</v>
      </c>
      <c r="C582" s="177">
        <v>3230500000</v>
      </c>
      <c r="D582" s="177"/>
      <c r="E582" s="178" t="s">
        <v>314</v>
      </c>
      <c r="F582" s="14">
        <f>F583</f>
        <v>904.2</v>
      </c>
      <c r="G582" s="14">
        <f t="shared" ref="G582:H582" si="174">G583</f>
        <v>0</v>
      </c>
      <c r="H582" s="14">
        <f t="shared" si="174"/>
        <v>0</v>
      </c>
    </row>
    <row r="583" spans="1:8" ht="31.5">
      <c r="A583" s="177" t="s">
        <v>19</v>
      </c>
      <c r="B583" s="177" t="s">
        <v>86</v>
      </c>
      <c r="C583" s="177">
        <v>3230520300</v>
      </c>
      <c r="D583" s="177"/>
      <c r="E583" s="178" t="s">
        <v>303</v>
      </c>
      <c r="F583" s="14">
        <f>F584</f>
        <v>904.2</v>
      </c>
      <c r="G583" s="14">
        <f t="shared" ref="G583:H584" si="175">G584</f>
        <v>0</v>
      </c>
      <c r="H583" s="14">
        <f t="shared" si="175"/>
        <v>0</v>
      </c>
    </row>
    <row r="584" spans="1:8" ht="31.5">
      <c r="A584" s="177" t="s">
        <v>19</v>
      </c>
      <c r="B584" s="177" t="s">
        <v>86</v>
      </c>
      <c r="C584" s="177">
        <v>3230520300</v>
      </c>
      <c r="D584" s="177" t="s">
        <v>69</v>
      </c>
      <c r="E584" s="178" t="s">
        <v>95</v>
      </c>
      <c r="F584" s="14">
        <f>F585</f>
        <v>904.2</v>
      </c>
      <c r="G584" s="14">
        <f t="shared" si="175"/>
        <v>0</v>
      </c>
      <c r="H584" s="14">
        <f t="shared" si="175"/>
        <v>0</v>
      </c>
    </row>
    <row r="585" spans="1:8" ht="31.5">
      <c r="A585" s="177" t="s">
        <v>19</v>
      </c>
      <c r="B585" s="177" t="s">
        <v>86</v>
      </c>
      <c r="C585" s="177">
        <v>3230520300</v>
      </c>
      <c r="D585" s="177">
        <v>240</v>
      </c>
      <c r="E585" s="178" t="s">
        <v>216</v>
      </c>
      <c r="F585" s="14">
        <f>1500-595.8</f>
        <v>904.2</v>
      </c>
      <c r="G585" s="14">
        <v>0</v>
      </c>
      <c r="H585" s="14">
        <v>0</v>
      </c>
    </row>
    <row r="586" spans="1:8" ht="31.5">
      <c r="A586" s="177" t="s">
        <v>19</v>
      </c>
      <c r="B586" s="177" t="s">
        <v>86</v>
      </c>
      <c r="C586" s="177">
        <v>3500000000</v>
      </c>
      <c r="D586" s="177"/>
      <c r="E586" s="178" t="s">
        <v>330</v>
      </c>
      <c r="F586" s="14">
        <f>F587</f>
        <v>236</v>
      </c>
      <c r="G586" s="14">
        <f t="shared" ref="G586:H590" si="176">G587</f>
        <v>236</v>
      </c>
      <c r="H586" s="14">
        <f t="shared" si="176"/>
        <v>236</v>
      </c>
    </row>
    <row r="587" spans="1:8" ht="31.5">
      <c r="A587" s="177" t="s">
        <v>19</v>
      </c>
      <c r="B587" s="177" t="s">
        <v>86</v>
      </c>
      <c r="C587" s="177">
        <v>3520000000</v>
      </c>
      <c r="D587" s="177"/>
      <c r="E587" s="178" t="s">
        <v>228</v>
      </c>
      <c r="F587" s="14">
        <f>F591+F595+F599</f>
        <v>236</v>
      </c>
      <c r="G587" s="14">
        <f>G591+G595+G599</f>
        <v>236</v>
      </c>
      <c r="H587" s="14">
        <f>H591+H595+H599</f>
        <v>236</v>
      </c>
    </row>
    <row r="588" spans="1:8" ht="31.5">
      <c r="A588" s="177" t="s">
        <v>19</v>
      </c>
      <c r="B588" s="177" t="s">
        <v>86</v>
      </c>
      <c r="C588" s="177">
        <v>3520300000</v>
      </c>
      <c r="D588" s="177"/>
      <c r="E588" s="30" t="s">
        <v>264</v>
      </c>
      <c r="F588" s="14">
        <f>F589</f>
        <v>55.6</v>
      </c>
      <c r="G588" s="14">
        <f t="shared" si="176"/>
        <v>55.6</v>
      </c>
      <c r="H588" s="14">
        <f t="shared" si="176"/>
        <v>55.6</v>
      </c>
    </row>
    <row r="589" spans="1:8">
      <c r="A589" s="177" t="s">
        <v>19</v>
      </c>
      <c r="B589" s="177" t="s">
        <v>86</v>
      </c>
      <c r="C589" s="177">
        <v>3520320300</v>
      </c>
      <c r="D589" s="177"/>
      <c r="E589" s="30" t="s">
        <v>265</v>
      </c>
      <c r="F589" s="14">
        <f>F590</f>
        <v>55.6</v>
      </c>
      <c r="G589" s="14">
        <f t="shared" si="176"/>
        <v>55.6</v>
      </c>
      <c r="H589" s="14">
        <f t="shared" si="176"/>
        <v>55.6</v>
      </c>
    </row>
    <row r="590" spans="1:8" ht="31.5">
      <c r="A590" s="177" t="s">
        <v>19</v>
      </c>
      <c r="B590" s="177" t="s">
        <v>86</v>
      </c>
      <c r="C590" s="177">
        <v>3520320300</v>
      </c>
      <c r="D590" s="177" t="s">
        <v>97</v>
      </c>
      <c r="E590" s="30" t="s">
        <v>98</v>
      </c>
      <c r="F590" s="14">
        <f>F591</f>
        <v>55.6</v>
      </c>
      <c r="G590" s="14">
        <f t="shared" si="176"/>
        <v>55.6</v>
      </c>
      <c r="H590" s="14">
        <f t="shared" si="176"/>
        <v>55.6</v>
      </c>
    </row>
    <row r="591" spans="1:8">
      <c r="A591" s="177" t="s">
        <v>19</v>
      </c>
      <c r="B591" s="177" t="s">
        <v>86</v>
      </c>
      <c r="C591" s="177">
        <v>3520320300</v>
      </c>
      <c r="D591" s="177">
        <v>610</v>
      </c>
      <c r="E591" s="30" t="s">
        <v>104</v>
      </c>
      <c r="F591" s="14">
        <v>55.6</v>
      </c>
      <c r="G591" s="14">
        <v>55.6</v>
      </c>
      <c r="H591" s="14">
        <v>55.6</v>
      </c>
    </row>
    <row r="592" spans="1:8" ht="31.5">
      <c r="A592" s="177" t="s">
        <v>19</v>
      </c>
      <c r="B592" s="177" t="s">
        <v>86</v>
      </c>
      <c r="C592" s="177">
        <v>3520400000</v>
      </c>
      <c r="D592" s="177"/>
      <c r="E592" s="178" t="s">
        <v>270</v>
      </c>
      <c r="F592" s="14">
        <f>F593</f>
        <v>121.4</v>
      </c>
      <c r="G592" s="14">
        <f t="shared" ref="G592:H594" si="177">G593</f>
        <v>121.4</v>
      </c>
      <c r="H592" s="14">
        <f t="shared" si="177"/>
        <v>121.4</v>
      </c>
    </row>
    <row r="593" spans="1:8">
      <c r="A593" s="177" t="s">
        <v>19</v>
      </c>
      <c r="B593" s="177" t="s">
        <v>86</v>
      </c>
      <c r="C593" s="177">
        <v>3520420300</v>
      </c>
      <c r="D593" s="177"/>
      <c r="E593" s="178" t="s">
        <v>271</v>
      </c>
      <c r="F593" s="14">
        <f>F594</f>
        <v>121.4</v>
      </c>
      <c r="G593" s="14">
        <f t="shared" si="177"/>
        <v>121.4</v>
      </c>
      <c r="H593" s="14">
        <f t="shared" si="177"/>
        <v>121.4</v>
      </c>
    </row>
    <row r="594" spans="1:8" ht="31.5">
      <c r="A594" s="177" t="s">
        <v>19</v>
      </c>
      <c r="B594" s="177" t="s">
        <v>86</v>
      </c>
      <c r="C594" s="177">
        <v>3520420300</v>
      </c>
      <c r="D594" s="177" t="s">
        <v>97</v>
      </c>
      <c r="E594" s="30" t="s">
        <v>98</v>
      </c>
      <c r="F594" s="14">
        <f>F595</f>
        <v>121.4</v>
      </c>
      <c r="G594" s="14">
        <f t="shared" si="177"/>
        <v>121.4</v>
      </c>
      <c r="H594" s="14">
        <f t="shared" si="177"/>
        <v>121.4</v>
      </c>
    </row>
    <row r="595" spans="1:8">
      <c r="A595" s="177" t="s">
        <v>19</v>
      </c>
      <c r="B595" s="177" t="s">
        <v>86</v>
      </c>
      <c r="C595" s="177">
        <v>3520420300</v>
      </c>
      <c r="D595" s="177">
        <v>610</v>
      </c>
      <c r="E595" s="30" t="s">
        <v>104</v>
      </c>
      <c r="F595" s="14">
        <v>121.4</v>
      </c>
      <c r="G595" s="14">
        <v>121.4</v>
      </c>
      <c r="H595" s="14">
        <v>121.4</v>
      </c>
    </row>
    <row r="596" spans="1:8" ht="31.5">
      <c r="A596" s="177" t="s">
        <v>19</v>
      </c>
      <c r="B596" s="177" t="s">
        <v>86</v>
      </c>
      <c r="C596" s="177">
        <v>3520500000</v>
      </c>
      <c r="D596" s="177"/>
      <c r="E596" s="178" t="s">
        <v>269</v>
      </c>
      <c r="F596" s="14">
        <f>F597</f>
        <v>59</v>
      </c>
      <c r="G596" s="14">
        <f t="shared" ref="G596:H598" si="178">G597</f>
        <v>59</v>
      </c>
      <c r="H596" s="14">
        <f t="shared" si="178"/>
        <v>59</v>
      </c>
    </row>
    <row r="597" spans="1:8">
      <c r="A597" s="177" t="s">
        <v>19</v>
      </c>
      <c r="B597" s="177" t="s">
        <v>86</v>
      </c>
      <c r="C597" s="177">
        <v>3520520200</v>
      </c>
      <c r="D597" s="177"/>
      <c r="E597" s="178" t="s">
        <v>252</v>
      </c>
      <c r="F597" s="14">
        <f>F598</f>
        <v>59</v>
      </c>
      <c r="G597" s="14">
        <f t="shared" si="178"/>
        <v>59</v>
      </c>
      <c r="H597" s="14">
        <f t="shared" si="178"/>
        <v>59</v>
      </c>
    </row>
    <row r="598" spans="1:8" ht="31.5">
      <c r="A598" s="177" t="s">
        <v>19</v>
      </c>
      <c r="B598" s="177" t="s">
        <v>86</v>
      </c>
      <c r="C598" s="177">
        <v>3520520200</v>
      </c>
      <c r="D598" s="177" t="s">
        <v>97</v>
      </c>
      <c r="E598" s="30" t="s">
        <v>98</v>
      </c>
      <c r="F598" s="14">
        <f>F599</f>
        <v>59</v>
      </c>
      <c r="G598" s="14">
        <f t="shared" si="178"/>
        <v>59</v>
      </c>
      <c r="H598" s="14">
        <f t="shared" si="178"/>
        <v>59</v>
      </c>
    </row>
    <row r="599" spans="1:8">
      <c r="A599" s="177" t="s">
        <v>19</v>
      </c>
      <c r="B599" s="177" t="s">
        <v>86</v>
      </c>
      <c r="C599" s="177">
        <v>3520520200</v>
      </c>
      <c r="D599" s="177">
        <v>610</v>
      </c>
      <c r="E599" s="30" t="s">
        <v>104</v>
      </c>
      <c r="F599" s="14">
        <v>59</v>
      </c>
      <c r="G599" s="14">
        <v>59</v>
      </c>
      <c r="H599" s="14">
        <v>59</v>
      </c>
    </row>
    <row r="600" spans="1:8">
      <c r="A600" s="177" t="s">
        <v>19</v>
      </c>
      <c r="B600" s="177">
        <v>1103</v>
      </c>
      <c r="C600" s="177" t="s">
        <v>66</v>
      </c>
      <c r="D600" s="177" t="s">
        <v>66</v>
      </c>
      <c r="E600" s="178" t="s">
        <v>230</v>
      </c>
      <c r="F600" s="14">
        <f>F601+F617</f>
        <v>30073.100000000006</v>
      </c>
      <c r="G600" s="14">
        <f>G601+G617</f>
        <v>28762</v>
      </c>
      <c r="H600" s="14">
        <f>H601+H617</f>
        <v>29059</v>
      </c>
    </row>
    <row r="601" spans="1:8" ht="47.25">
      <c r="A601" s="177" t="s">
        <v>19</v>
      </c>
      <c r="B601" s="177">
        <v>1103</v>
      </c>
      <c r="C601" s="177">
        <v>3200000000</v>
      </c>
      <c r="D601" s="177"/>
      <c r="E601" s="178" t="s">
        <v>329</v>
      </c>
      <c r="F601" s="14">
        <f>F602</f>
        <v>27116.400000000005</v>
      </c>
      <c r="G601" s="14">
        <f t="shared" ref="G601:H601" si="179">G602</f>
        <v>26789.9</v>
      </c>
      <c r="H601" s="14">
        <f t="shared" si="179"/>
        <v>27086.9</v>
      </c>
    </row>
    <row r="602" spans="1:8" ht="31.5">
      <c r="A602" s="177" t="s">
        <v>19</v>
      </c>
      <c r="B602" s="177">
        <v>1103</v>
      </c>
      <c r="C602" s="177">
        <v>3240000000</v>
      </c>
      <c r="D602" s="177"/>
      <c r="E602" s="178" t="s">
        <v>231</v>
      </c>
      <c r="F602" s="14">
        <f>F603+F613</f>
        <v>27116.400000000005</v>
      </c>
      <c r="G602" s="14">
        <f>G603+G613</f>
        <v>26789.9</v>
      </c>
      <c r="H602" s="14">
        <f>H603+H613</f>
        <v>27086.9</v>
      </c>
    </row>
    <row r="603" spans="1:8" ht="47.25">
      <c r="A603" s="177" t="s">
        <v>19</v>
      </c>
      <c r="B603" s="177">
        <v>1103</v>
      </c>
      <c r="C603" s="177">
        <v>3240100000</v>
      </c>
      <c r="D603" s="177"/>
      <c r="E603" s="178" t="s">
        <v>232</v>
      </c>
      <c r="F603" s="14">
        <f>F604+F607+F610</f>
        <v>26671.400000000005</v>
      </c>
      <c r="G603" s="14">
        <f t="shared" ref="G603:H603" si="180">G604+G607+G610</f>
        <v>26789.9</v>
      </c>
      <c r="H603" s="14">
        <f t="shared" si="180"/>
        <v>27086.9</v>
      </c>
    </row>
    <row r="604" spans="1:8" ht="31.5">
      <c r="A604" s="177" t="s">
        <v>19</v>
      </c>
      <c r="B604" s="177">
        <v>1103</v>
      </c>
      <c r="C604" s="177">
        <v>3240120010</v>
      </c>
      <c r="D604" s="177"/>
      <c r="E604" s="178" t="s">
        <v>123</v>
      </c>
      <c r="F604" s="14">
        <f>F605</f>
        <v>21400.800000000003</v>
      </c>
      <c r="G604" s="14">
        <f t="shared" ref="G604:H605" si="181">G605</f>
        <v>21684</v>
      </c>
      <c r="H604" s="14">
        <f t="shared" si="181"/>
        <v>21981</v>
      </c>
    </row>
    <row r="605" spans="1:8" ht="31.5">
      <c r="A605" s="177" t="s">
        <v>19</v>
      </c>
      <c r="B605" s="177">
        <v>1103</v>
      </c>
      <c r="C605" s="177">
        <v>3240120010</v>
      </c>
      <c r="D605" s="177" t="s">
        <v>97</v>
      </c>
      <c r="E605" s="178" t="s">
        <v>98</v>
      </c>
      <c r="F605" s="14">
        <f>F606</f>
        <v>21400.800000000003</v>
      </c>
      <c r="G605" s="14">
        <f t="shared" si="181"/>
        <v>21684</v>
      </c>
      <c r="H605" s="14">
        <f t="shared" si="181"/>
        <v>21981</v>
      </c>
    </row>
    <row r="606" spans="1:8">
      <c r="A606" s="177" t="s">
        <v>19</v>
      </c>
      <c r="B606" s="177">
        <v>1103</v>
      </c>
      <c r="C606" s="177">
        <v>3240120010</v>
      </c>
      <c r="D606" s="177">
        <v>610</v>
      </c>
      <c r="E606" s="178" t="s">
        <v>104</v>
      </c>
      <c r="F606" s="14">
        <f>21402.4-1.6</f>
        <v>21400.800000000003</v>
      </c>
      <c r="G606" s="14">
        <v>21684</v>
      </c>
      <c r="H606" s="14">
        <v>21981</v>
      </c>
    </row>
    <row r="607" spans="1:8" ht="47.25">
      <c r="A607" s="177" t="s">
        <v>19</v>
      </c>
      <c r="B607" s="177">
        <v>1103</v>
      </c>
      <c r="C607" s="177" t="s">
        <v>354</v>
      </c>
      <c r="D607" s="102"/>
      <c r="E607" s="33" t="s">
        <v>377</v>
      </c>
      <c r="F607" s="14">
        <f>F608</f>
        <v>5105.9000000000005</v>
      </c>
      <c r="G607" s="14">
        <f t="shared" ref="G607:H608" si="182">G608</f>
        <v>5105.9000000000005</v>
      </c>
      <c r="H607" s="14">
        <f t="shared" si="182"/>
        <v>5105.9000000000005</v>
      </c>
    </row>
    <row r="608" spans="1:8" ht="31.5">
      <c r="A608" s="177" t="s">
        <v>19</v>
      </c>
      <c r="B608" s="177">
        <v>1103</v>
      </c>
      <c r="C608" s="177" t="s">
        <v>354</v>
      </c>
      <c r="D608" s="177" t="s">
        <v>97</v>
      </c>
      <c r="E608" s="178" t="s">
        <v>98</v>
      </c>
      <c r="F608" s="14">
        <f>F609</f>
        <v>5105.9000000000005</v>
      </c>
      <c r="G608" s="14">
        <f t="shared" si="182"/>
        <v>5105.9000000000005</v>
      </c>
      <c r="H608" s="14">
        <f t="shared" si="182"/>
        <v>5105.9000000000005</v>
      </c>
    </row>
    <row r="609" spans="1:8">
      <c r="A609" s="177" t="s">
        <v>19</v>
      </c>
      <c r="B609" s="177">
        <v>1103</v>
      </c>
      <c r="C609" s="177" t="s">
        <v>354</v>
      </c>
      <c r="D609" s="177">
        <v>610</v>
      </c>
      <c r="E609" s="178" t="s">
        <v>104</v>
      </c>
      <c r="F609" s="14">
        <f>5054.8+51.1</f>
        <v>5105.9000000000005</v>
      </c>
      <c r="G609" s="14">
        <f>5054.8+51.1</f>
        <v>5105.9000000000005</v>
      </c>
      <c r="H609" s="14">
        <f>5054.8+51.1</f>
        <v>5105.9000000000005</v>
      </c>
    </row>
    <row r="610" spans="1:8" ht="31.5">
      <c r="A610" s="177" t="s">
        <v>19</v>
      </c>
      <c r="B610" s="177">
        <v>1103</v>
      </c>
      <c r="C610" s="177" t="s">
        <v>802</v>
      </c>
      <c r="D610" s="177"/>
      <c r="E610" s="33" t="s">
        <v>801</v>
      </c>
      <c r="F610" s="14">
        <f>F611</f>
        <v>164.7</v>
      </c>
      <c r="G610" s="14">
        <f t="shared" ref="G610:H611" si="183">G611</f>
        <v>0</v>
      </c>
      <c r="H610" s="14">
        <f t="shared" si="183"/>
        <v>0</v>
      </c>
    </row>
    <row r="611" spans="1:8" ht="31.5">
      <c r="A611" s="177" t="s">
        <v>19</v>
      </c>
      <c r="B611" s="177">
        <v>1103</v>
      </c>
      <c r="C611" s="177" t="s">
        <v>802</v>
      </c>
      <c r="D611" s="177" t="s">
        <v>97</v>
      </c>
      <c r="E611" s="178" t="s">
        <v>98</v>
      </c>
      <c r="F611" s="14">
        <f>F612</f>
        <v>164.7</v>
      </c>
      <c r="G611" s="14">
        <f t="shared" si="183"/>
        <v>0</v>
      </c>
      <c r="H611" s="14">
        <f t="shared" si="183"/>
        <v>0</v>
      </c>
    </row>
    <row r="612" spans="1:8">
      <c r="A612" s="177" t="s">
        <v>19</v>
      </c>
      <c r="B612" s="177">
        <v>1103</v>
      </c>
      <c r="C612" s="177" t="s">
        <v>802</v>
      </c>
      <c r="D612" s="177">
        <v>610</v>
      </c>
      <c r="E612" s="178" t="s">
        <v>104</v>
      </c>
      <c r="F612" s="14">
        <f>163.1+1.6</f>
        <v>164.7</v>
      </c>
      <c r="G612" s="14">
        <v>0</v>
      </c>
      <c r="H612" s="14">
        <v>0</v>
      </c>
    </row>
    <row r="613" spans="1:8" ht="47.25">
      <c r="A613" s="177" t="s">
        <v>19</v>
      </c>
      <c r="B613" s="177">
        <v>1103</v>
      </c>
      <c r="C613" s="177">
        <v>3240200000</v>
      </c>
      <c r="D613" s="177"/>
      <c r="E613" s="178" t="s">
        <v>433</v>
      </c>
      <c r="F613" s="14">
        <f>F614</f>
        <v>445</v>
      </c>
      <c r="G613" s="14">
        <f t="shared" ref="G613:H615" si="184">G614</f>
        <v>0</v>
      </c>
      <c r="H613" s="14">
        <f t="shared" si="184"/>
        <v>0</v>
      </c>
    </row>
    <row r="614" spans="1:8" ht="63">
      <c r="A614" s="177" t="s">
        <v>19</v>
      </c>
      <c r="B614" s="177">
        <v>1103</v>
      </c>
      <c r="C614" s="8" t="s">
        <v>434</v>
      </c>
      <c r="D614" s="50"/>
      <c r="E614" s="5" t="s">
        <v>435</v>
      </c>
      <c r="F614" s="14">
        <f>F615</f>
        <v>445</v>
      </c>
      <c r="G614" s="14">
        <f t="shared" si="184"/>
        <v>0</v>
      </c>
      <c r="H614" s="14">
        <f t="shared" si="184"/>
        <v>0</v>
      </c>
    </row>
    <row r="615" spans="1:8" ht="31.5">
      <c r="A615" s="177" t="s">
        <v>19</v>
      </c>
      <c r="B615" s="177">
        <v>1103</v>
      </c>
      <c r="C615" s="8" t="s">
        <v>434</v>
      </c>
      <c r="D615" s="50" t="s">
        <v>97</v>
      </c>
      <c r="E615" s="178" t="s">
        <v>98</v>
      </c>
      <c r="F615" s="14">
        <f>F616</f>
        <v>445</v>
      </c>
      <c r="G615" s="14">
        <f t="shared" si="184"/>
        <v>0</v>
      </c>
      <c r="H615" s="14">
        <f t="shared" si="184"/>
        <v>0</v>
      </c>
    </row>
    <row r="616" spans="1:8">
      <c r="A616" s="177" t="s">
        <v>19</v>
      </c>
      <c r="B616" s="177">
        <v>1103</v>
      </c>
      <c r="C616" s="8" t="s">
        <v>434</v>
      </c>
      <c r="D616" s="50">
        <v>610</v>
      </c>
      <c r="E616" s="178" t="s">
        <v>104</v>
      </c>
      <c r="F616" s="14">
        <f>400+45</f>
        <v>445</v>
      </c>
      <c r="G616" s="14">
        <v>0</v>
      </c>
      <c r="H616" s="14">
        <v>0</v>
      </c>
    </row>
    <row r="617" spans="1:8" ht="31.5">
      <c r="A617" s="177" t="s">
        <v>19</v>
      </c>
      <c r="B617" s="177">
        <v>1103</v>
      </c>
      <c r="C617" s="177">
        <v>3500000000</v>
      </c>
      <c r="D617" s="177"/>
      <c r="E617" s="178" t="s">
        <v>330</v>
      </c>
      <c r="F617" s="14">
        <f>F618</f>
        <v>2956.7</v>
      </c>
      <c r="G617" s="14">
        <f>G618</f>
        <v>1972.1</v>
      </c>
      <c r="H617" s="14">
        <f>H618</f>
        <v>1972.1</v>
      </c>
    </row>
    <row r="618" spans="1:8" ht="31.5">
      <c r="A618" s="177" t="s">
        <v>19</v>
      </c>
      <c r="B618" s="177">
        <v>1103</v>
      </c>
      <c r="C618" s="177">
        <v>3520000000</v>
      </c>
      <c r="D618" s="177"/>
      <c r="E618" s="178" t="s">
        <v>228</v>
      </c>
      <c r="F618" s="14">
        <f>F623+F627+F631+F619</f>
        <v>2956.7</v>
      </c>
      <c r="G618" s="14">
        <f>G623+G627+G631+G619</f>
        <v>1972.1</v>
      </c>
      <c r="H618" s="14">
        <f>H623+H627+H631+H619</f>
        <v>1972.1</v>
      </c>
    </row>
    <row r="619" spans="1:8" ht="63">
      <c r="A619" s="177" t="s">
        <v>19</v>
      </c>
      <c r="B619" s="177">
        <v>1103</v>
      </c>
      <c r="C619" s="177">
        <v>3520100000</v>
      </c>
      <c r="D619" s="177"/>
      <c r="E619" s="30" t="s">
        <v>274</v>
      </c>
      <c r="F619" s="14">
        <f>F620</f>
        <v>595.79999999999995</v>
      </c>
      <c r="G619" s="14">
        <f t="shared" ref="G619:H621" si="185">G620</f>
        <v>0</v>
      </c>
      <c r="H619" s="14">
        <f t="shared" si="185"/>
        <v>0</v>
      </c>
    </row>
    <row r="620" spans="1:8" ht="31.5">
      <c r="A620" s="177" t="s">
        <v>19</v>
      </c>
      <c r="B620" s="177">
        <v>1103</v>
      </c>
      <c r="C620" s="177">
        <v>3520120180</v>
      </c>
      <c r="D620" s="177"/>
      <c r="E620" s="30" t="s">
        <v>805</v>
      </c>
      <c r="F620" s="14">
        <f>F621</f>
        <v>595.79999999999995</v>
      </c>
      <c r="G620" s="14">
        <f t="shared" si="185"/>
        <v>0</v>
      </c>
      <c r="H620" s="14">
        <f t="shared" si="185"/>
        <v>0</v>
      </c>
    </row>
    <row r="621" spans="1:8" ht="31.5">
      <c r="A621" s="177" t="s">
        <v>19</v>
      </c>
      <c r="B621" s="177">
        <v>1103</v>
      </c>
      <c r="C621" s="177">
        <v>3520120180</v>
      </c>
      <c r="D621" s="50" t="s">
        <v>97</v>
      </c>
      <c r="E621" s="178" t="s">
        <v>98</v>
      </c>
      <c r="F621" s="14">
        <f>F622</f>
        <v>595.79999999999995</v>
      </c>
      <c r="G621" s="14">
        <f t="shared" si="185"/>
        <v>0</v>
      </c>
      <c r="H621" s="14">
        <f t="shared" si="185"/>
        <v>0</v>
      </c>
    </row>
    <row r="622" spans="1:8">
      <c r="A622" s="177" t="s">
        <v>19</v>
      </c>
      <c r="B622" s="177">
        <v>1103</v>
      </c>
      <c r="C622" s="177">
        <v>3520120180</v>
      </c>
      <c r="D622" s="50">
        <v>610</v>
      </c>
      <c r="E622" s="178" t="s">
        <v>104</v>
      </c>
      <c r="F622" s="14">
        <v>595.79999999999995</v>
      </c>
      <c r="G622" s="14">
        <v>0</v>
      </c>
      <c r="H622" s="14">
        <v>0</v>
      </c>
    </row>
    <row r="623" spans="1:8" ht="31.5">
      <c r="A623" s="177" t="s">
        <v>19</v>
      </c>
      <c r="B623" s="177">
        <v>1103</v>
      </c>
      <c r="C623" s="177">
        <v>3520300000</v>
      </c>
      <c r="D623" s="177"/>
      <c r="E623" s="30" t="s">
        <v>264</v>
      </c>
      <c r="F623" s="14">
        <f>F624</f>
        <v>103.8</v>
      </c>
      <c r="G623" s="14">
        <f t="shared" ref="G623:H625" si="186">G624</f>
        <v>78.400000000000006</v>
      </c>
      <c r="H623" s="14">
        <f t="shared" si="186"/>
        <v>78.400000000000006</v>
      </c>
    </row>
    <row r="624" spans="1:8">
      <c r="A624" s="177" t="s">
        <v>19</v>
      </c>
      <c r="B624" s="177">
        <v>1103</v>
      </c>
      <c r="C624" s="177">
        <v>3520320300</v>
      </c>
      <c r="D624" s="177"/>
      <c r="E624" s="30" t="s">
        <v>265</v>
      </c>
      <c r="F624" s="14">
        <f>F625</f>
        <v>103.8</v>
      </c>
      <c r="G624" s="14">
        <f t="shared" si="186"/>
        <v>78.400000000000006</v>
      </c>
      <c r="H624" s="14">
        <f t="shared" si="186"/>
        <v>78.400000000000006</v>
      </c>
    </row>
    <row r="625" spans="1:8" ht="31.5">
      <c r="A625" s="177" t="s">
        <v>19</v>
      </c>
      <c r="B625" s="177">
        <v>1103</v>
      </c>
      <c r="C625" s="177">
        <v>3520320300</v>
      </c>
      <c r="D625" s="177" t="s">
        <v>97</v>
      </c>
      <c r="E625" s="30" t="s">
        <v>98</v>
      </c>
      <c r="F625" s="14">
        <f>F626</f>
        <v>103.8</v>
      </c>
      <c r="G625" s="14">
        <f t="shared" si="186"/>
        <v>78.400000000000006</v>
      </c>
      <c r="H625" s="14">
        <f t="shared" si="186"/>
        <v>78.400000000000006</v>
      </c>
    </row>
    <row r="626" spans="1:8">
      <c r="A626" s="177" t="s">
        <v>19</v>
      </c>
      <c r="B626" s="177">
        <v>1103</v>
      </c>
      <c r="C626" s="177">
        <v>3520320300</v>
      </c>
      <c r="D626" s="177">
        <v>610</v>
      </c>
      <c r="E626" s="30" t="s">
        <v>104</v>
      </c>
      <c r="F626" s="14">
        <v>103.8</v>
      </c>
      <c r="G626" s="14">
        <v>78.400000000000006</v>
      </c>
      <c r="H626" s="14">
        <v>78.400000000000006</v>
      </c>
    </row>
    <row r="627" spans="1:8" ht="31.5">
      <c r="A627" s="177" t="s">
        <v>19</v>
      </c>
      <c r="B627" s="177">
        <v>1103</v>
      </c>
      <c r="C627" s="177">
        <v>3520400000</v>
      </c>
      <c r="D627" s="177"/>
      <c r="E627" s="178" t="s">
        <v>270</v>
      </c>
      <c r="F627" s="14">
        <f>F628</f>
        <v>67.900000000000006</v>
      </c>
      <c r="G627" s="14">
        <f t="shared" ref="G627:H629" si="187">G628</f>
        <v>57.4</v>
      </c>
      <c r="H627" s="14">
        <f t="shared" si="187"/>
        <v>57.4</v>
      </c>
    </row>
    <row r="628" spans="1:8">
      <c r="A628" s="177" t="s">
        <v>19</v>
      </c>
      <c r="B628" s="177">
        <v>1103</v>
      </c>
      <c r="C628" s="177">
        <v>3520420300</v>
      </c>
      <c r="D628" s="177"/>
      <c r="E628" s="178" t="s">
        <v>271</v>
      </c>
      <c r="F628" s="14">
        <f>F629</f>
        <v>67.900000000000006</v>
      </c>
      <c r="G628" s="14">
        <f t="shared" si="187"/>
        <v>57.4</v>
      </c>
      <c r="H628" s="14">
        <f t="shared" si="187"/>
        <v>57.4</v>
      </c>
    </row>
    <row r="629" spans="1:8" ht="31.5">
      <c r="A629" s="177" t="s">
        <v>19</v>
      </c>
      <c r="B629" s="177">
        <v>1103</v>
      </c>
      <c r="C629" s="177">
        <v>3520420300</v>
      </c>
      <c r="D629" s="177" t="s">
        <v>97</v>
      </c>
      <c r="E629" s="30" t="s">
        <v>98</v>
      </c>
      <c r="F629" s="14">
        <f>F630</f>
        <v>67.900000000000006</v>
      </c>
      <c r="G629" s="14">
        <f t="shared" si="187"/>
        <v>57.4</v>
      </c>
      <c r="H629" s="14">
        <f t="shared" si="187"/>
        <v>57.4</v>
      </c>
    </row>
    <row r="630" spans="1:8">
      <c r="A630" s="177" t="s">
        <v>19</v>
      </c>
      <c r="B630" s="177">
        <v>1103</v>
      </c>
      <c r="C630" s="177">
        <v>3520420300</v>
      </c>
      <c r="D630" s="177">
        <v>610</v>
      </c>
      <c r="E630" s="30" t="s">
        <v>104</v>
      </c>
      <c r="F630" s="14">
        <v>67.900000000000006</v>
      </c>
      <c r="G630" s="14">
        <v>57.4</v>
      </c>
      <c r="H630" s="14">
        <v>57.4</v>
      </c>
    </row>
    <row r="631" spans="1:8" ht="31.5">
      <c r="A631" s="177" t="s">
        <v>19</v>
      </c>
      <c r="B631" s="177">
        <v>1103</v>
      </c>
      <c r="C631" s="177">
        <v>3520500000</v>
      </c>
      <c r="D631" s="177"/>
      <c r="E631" s="178" t="s">
        <v>269</v>
      </c>
      <c r="F631" s="14">
        <f>F632</f>
        <v>2189.1999999999998</v>
      </c>
      <c r="G631" s="14">
        <f t="shared" ref="G631:H633" si="188">G632</f>
        <v>1836.3</v>
      </c>
      <c r="H631" s="14">
        <f t="shared" si="188"/>
        <v>1836.3</v>
      </c>
    </row>
    <row r="632" spans="1:8">
      <c r="A632" s="177" t="s">
        <v>19</v>
      </c>
      <c r="B632" s="177">
        <v>1103</v>
      </c>
      <c r="C632" s="177">
        <v>3520520200</v>
      </c>
      <c r="D632" s="177"/>
      <c r="E632" s="178" t="s">
        <v>252</v>
      </c>
      <c r="F632" s="14">
        <f>F633</f>
        <v>2189.1999999999998</v>
      </c>
      <c r="G632" s="14">
        <f t="shared" si="188"/>
        <v>1836.3</v>
      </c>
      <c r="H632" s="14">
        <f t="shared" si="188"/>
        <v>1836.3</v>
      </c>
    </row>
    <row r="633" spans="1:8" ht="31.5">
      <c r="A633" s="177" t="s">
        <v>19</v>
      </c>
      <c r="B633" s="177">
        <v>1103</v>
      </c>
      <c r="C633" s="177">
        <v>3520520200</v>
      </c>
      <c r="D633" s="177" t="s">
        <v>97</v>
      </c>
      <c r="E633" s="30" t="s">
        <v>98</v>
      </c>
      <c r="F633" s="14">
        <f>F634</f>
        <v>2189.1999999999998</v>
      </c>
      <c r="G633" s="14">
        <f t="shared" si="188"/>
        <v>1836.3</v>
      </c>
      <c r="H633" s="14">
        <f t="shared" si="188"/>
        <v>1836.3</v>
      </c>
    </row>
    <row r="634" spans="1:8">
      <c r="A634" s="177" t="s">
        <v>19</v>
      </c>
      <c r="B634" s="177">
        <v>1103</v>
      </c>
      <c r="C634" s="177">
        <v>3520520200</v>
      </c>
      <c r="D634" s="177">
        <v>610</v>
      </c>
      <c r="E634" s="30" t="s">
        <v>104</v>
      </c>
      <c r="F634" s="14">
        <v>2189.1999999999998</v>
      </c>
      <c r="G634" s="14">
        <v>1836.3</v>
      </c>
      <c r="H634" s="14">
        <v>1836.3</v>
      </c>
    </row>
    <row r="635" spans="1:8">
      <c r="A635" s="177" t="s">
        <v>19</v>
      </c>
      <c r="B635" s="177" t="s">
        <v>92</v>
      </c>
      <c r="C635" s="177" t="s">
        <v>66</v>
      </c>
      <c r="D635" s="177" t="s">
        <v>66</v>
      </c>
      <c r="E635" s="22" t="s">
        <v>63</v>
      </c>
      <c r="F635" s="14">
        <f>F636</f>
        <v>3524.9</v>
      </c>
      <c r="G635" s="14">
        <f t="shared" ref="G635:H638" si="189">G636</f>
        <v>1569.6</v>
      </c>
      <c r="H635" s="14">
        <f t="shared" si="189"/>
        <v>1569.6</v>
      </c>
    </row>
    <row r="636" spans="1:8">
      <c r="A636" s="177" t="s">
        <v>19</v>
      </c>
      <c r="B636" s="177" t="s">
        <v>64</v>
      </c>
      <c r="C636" s="177" t="s">
        <v>66</v>
      </c>
      <c r="D636" s="177" t="s">
        <v>66</v>
      </c>
      <c r="E636" s="178" t="s">
        <v>65</v>
      </c>
      <c r="F636" s="14">
        <f>F637</f>
        <v>3524.9</v>
      </c>
      <c r="G636" s="14">
        <f t="shared" si="189"/>
        <v>1569.6</v>
      </c>
      <c r="H636" s="14">
        <f t="shared" si="189"/>
        <v>1569.6</v>
      </c>
    </row>
    <row r="637" spans="1:8" ht="47.25">
      <c r="A637" s="177" t="s">
        <v>19</v>
      </c>
      <c r="B637" s="177" t="s">
        <v>64</v>
      </c>
      <c r="C637" s="177">
        <v>3200000000</v>
      </c>
      <c r="D637" s="177"/>
      <c r="E637" s="178" t="s">
        <v>329</v>
      </c>
      <c r="F637" s="14">
        <f>F638</f>
        <v>3524.9</v>
      </c>
      <c r="G637" s="14">
        <f t="shared" si="189"/>
        <v>1569.6</v>
      </c>
      <c r="H637" s="14">
        <f t="shared" si="189"/>
        <v>1569.6</v>
      </c>
    </row>
    <row r="638" spans="1:8" ht="31.5">
      <c r="A638" s="177" t="s">
        <v>19</v>
      </c>
      <c r="B638" s="177" t="s">
        <v>64</v>
      </c>
      <c r="C638" s="177">
        <v>3250000000</v>
      </c>
      <c r="D638" s="177"/>
      <c r="E638" s="178" t="s">
        <v>132</v>
      </c>
      <c r="F638" s="14">
        <f>F639</f>
        <v>3524.9</v>
      </c>
      <c r="G638" s="14">
        <f t="shared" si="189"/>
        <v>1569.6</v>
      </c>
      <c r="H638" s="14">
        <f t="shared" si="189"/>
        <v>1569.6</v>
      </c>
    </row>
    <row r="639" spans="1:8">
      <c r="A639" s="177" t="s">
        <v>19</v>
      </c>
      <c r="B639" s="177" t="s">
        <v>64</v>
      </c>
      <c r="C639" s="177">
        <v>3250300000</v>
      </c>
      <c r="D639" s="177"/>
      <c r="E639" s="178" t="s">
        <v>185</v>
      </c>
      <c r="F639" s="14">
        <f>F643+F640</f>
        <v>3524.9</v>
      </c>
      <c r="G639" s="14">
        <f t="shared" ref="G639:H639" si="190">G643+G640</f>
        <v>1569.6</v>
      </c>
      <c r="H639" s="14">
        <f t="shared" si="190"/>
        <v>1569.6</v>
      </c>
    </row>
    <row r="640" spans="1:8" ht="47.25">
      <c r="A640" s="177" t="s">
        <v>19</v>
      </c>
      <c r="B640" s="177" t="s">
        <v>64</v>
      </c>
      <c r="C640" s="177">
        <v>3250320400</v>
      </c>
      <c r="D640" s="177"/>
      <c r="E640" s="178" t="s">
        <v>227</v>
      </c>
      <c r="F640" s="14">
        <f t="shared" ref="F640:H641" si="191">F641</f>
        <v>506</v>
      </c>
      <c r="G640" s="14">
        <f t="shared" si="191"/>
        <v>0</v>
      </c>
      <c r="H640" s="14">
        <f t="shared" si="191"/>
        <v>0</v>
      </c>
    </row>
    <row r="641" spans="1:8" ht="31.5">
      <c r="A641" s="177" t="s">
        <v>19</v>
      </c>
      <c r="B641" s="177" t="s">
        <v>64</v>
      </c>
      <c r="C641" s="177">
        <v>3250320400</v>
      </c>
      <c r="D641" s="177" t="s">
        <v>69</v>
      </c>
      <c r="E641" s="178" t="s">
        <v>95</v>
      </c>
      <c r="F641" s="14">
        <f t="shared" si="191"/>
        <v>506</v>
      </c>
      <c r="G641" s="14">
        <f t="shared" si="191"/>
        <v>0</v>
      </c>
      <c r="H641" s="14">
        <f t="shared" si="191"/>
        <v>0</v>
      </c>
    </row>
    <row r="642" spans="1:8" ht="31.5">
      <c r="A642" s="177" t="s">
        <v>19</v>
      </c>
      <c r="B642" s="177" t="s">
        <v>64</v>
      </c>
      <c r="C642" s="177">
        <v>3250320400</v>
      </c>
      <c r="D642" s="177">
        <v>240</v>
      </c>
      <c r="E642" s="178" t="s">
        <v>216</v>
      </c>
      <c r="F642" s="14">
        <v>506</v>
      </c>
      <c r="G642" s="14">
        <v>0</v>
      </c>
      <c r="H642" s="14">
        <v>0</v>
      </c>
    </row>
    <row r="643" spans="1:8" ht="31.5">
      <c r="A643" s="177" t="s">
        <v>19</v>
      </c>
      <c r="B643" s="177" t="s">
        <v>64</v>
      </c>
      <c r="C643" s="177" t="s">
        <v>355</v>
      </c>
      <c r="D643" s="177"/>
      <c r="E643" s="178" t="s">
        <v>376</v>
      </c>
      <c r="F643" s="14">
        <f t="shared" ref="F643:H644" si="192">F644</f>
        <v>3018.9</v>
      </c>
      <c r="G643" s="14">
        <f t="shared" si="192"/>
        <v>1569.6</v>
      </c>
      <c r="H643" s="14">
        <f t="shared" si="192"/>
        <v>1569.6</v>
      </c>
    </row>
    <row r="644" spans="1:8" ht="31.5">
      <c r="A644" s="177" t="s">
        <v>19</v>
      </c>
      <c r="B644" s="177" t="s">
        <v>64</v>
      </c>
      <c r="C644" s="177" t="s">
        <v>355</v>
      </c>
      <c r="D644" s="177" t="s">
        <v>97</v>
      </c>
      <c r="E644" s="178" t="s">
        <v>98</v>
      </c>
      <c r="F644" s="14">
        <f t="shared" si="192"/>
        <v>3018.9</v>
      </c>
      <c r="G644" s="14">
        <f t="shared" si="192"/>
        <v>1569.6</v>
      </c>
      <c r="H644" s="14">
        <f t="shared" si="192"/>
        <v>1569.6</v>
      </c>
    </row>
    <row r="645" spans="1:8" ht="31.5">
      <c r="A645" s="177" t="s">
        <v>19</v>
      </c>
      <c r="B645" s="177" t="s">
        <v>64</v>
      </c>
      <c r="C645" s="177" t="s">
        <v>355</v>
      </c>
      <c r="D645" s="177">
        <v>630</v>
      </c>
      <c r="E645" s="178" t="s">
        <v>143</v>
      </c>
      <c r="F645" s="14">
        <f>569.6+2176+273.3</f>
        <v>3018.9</v>
      </c>
      <c r="G645" s="14">
        <f>569.6+1000</f>
        <v>1569.6</v>
      </c>
      <c r="H645" s="14">
        <f>569.6+1000</f>
        <v>1569.6</v>
      </c>
    </row>
    <row r="646" spans="1:8">
      <c r="A646" s="19" t="s">
        <v>35</v>
      </c>
      <c r="B646" s="30" t="s">
        <v>66</v>
      </c>
      <c r="C646" s="30" t="s">
        <v>66</v>
      </c>
      <c r="D646" s="30" t="s">
        <v>66</v>
      </c>
      <c r="E646" s="21" t="s">
        <v>247</v>
      </c>
      <c r="F646" s="17">
        <f>F647+F672</f>
        <v>35486.800000000003</v>
      </c>
      <c r="G646" s="17">
        <f t="shared" ref="G646:H646" si="193">G647+G672</f>
        <v>33843</v>
      </c>
      <c r="H646" s="17">
        <f t="shared" si="193"/>
        <v>25843</v>
      </c>
    </row>
    <row r="647" spans="1:8">
      <c r="A647" s="177" t="s">
        <v>35</v>
      </c>
      <c r="B647" s="177" t="s">
        <v>54</v>
      </c>
      <c r="C647" s="177" t="s">
        <v>66</v>
      </c>
      <c r="D647" s="177" t="s">
        <v>66</v>
      </c>
      <c r="E647" s="25" t="s">
        <v>20</v>
      </c>
      <c r="F647" s="14">
        <f>F648+F660+F666</f>
        <v>13486.800000000001</v>
      </c>
      <c r="G647" s="14">
        <f>G648+G660+G666</f>
        <v>11843</v>
      </c>
      <c r="H647" s="14">
        <f>H648+H660+H666</f>
        <v>11843</v>
      </c>
    </row>
    <row r="648" spans="1:8" ht="47.25">
      <c r="A648" s="177" t="s">
        <v>35</v>
      </c>
      <c r="B648" s="177" t="s">
        <v>46</v>
      </c>
      <c r="C648" s="177" t="s">
        <v>66</v>
      </c>
      <c r="D648" s="177" t="s">
        <v>66</v>
      </c>
      <c r="E648" s="178" t="s">
        <v>7</v>
      </c>
      <c r="F648" s="14">
        <f>F649</f>
        <v>11609.6</v>
      </c>
      <c r="G648" s="14">
        <f t="shared" ref="G648:H650" si="194">G649</f>
        <v>11343</v>
      </c>
      <c r="H648" s="14">
        <f t="shared" si="194"/>
        <v>11343</v>
      </c>
    </row>
    <row r="649" spans="1:8">
      <c r="A649" s="177" t="s">
        <v>35</v>
      </c>
      <c r="B649" s="177" t="s">
        <v>46</v>
      </c>
      <c r="C649" s="177">
        <v>9900000000</v>
      </c>
      <c r="D649" s="177"/>
      <c r="E649" s="178" t="s">
        <v>105</v>
      </c>
      <c r="F649" s="14">
        <f>F650</f>
        <v>11609.6</v>
      </c>
      <c r="G649" s="14">
        <f t="shared" si="194"/>
        <v>11343</v>
      </c>
      <c r="H649" s="14">
        <f t="shared" si="194"/>
        <v>11343</v>
      </c>
    </row>
    <row r="650" spans="1:8" ht="31.5">
      <c r="A650" s="177" t="s">
        <v>35</v>
      </c>
      <c r="B650" s="177" t="s">
        <v>46</v>
      </c>
      <c r="C650" s="177">
        <v>9990000000</v>
      </c>
      <c r="D650" s="177"/>
      <c r="E650" s="178" t="s">
        <v>145</v>
      </c>
      <c r="F650" s="14">
        <f>F651</f>
        <v>11609.6</v>
      </c>
      <c r="G650" s="14">
        <f t="shared" si="194"/>
        <v>11343</v>
      </c>
      <c r="H650" s="14">
        <f t="shared" si="194"/>
        <v>11343</v>
      </c>
    </row>
    <row r="651" spans="1:8" ht="31.5">
      <c r="A651" s="177" t="s">
        <v>35</v>
      </c>
      <c r="B651" s="177" t="s">
        <v>46</v>
      </c>
      <c r="C651" s="177">
        <v>9990200000</v>
      </c>
      <c r="D651" s="30"/>
      <c r="E651" s="178" t="s">
        <v>117</v>
      </c>
      <c r="F651" s="14">
        <f>F652+F657</f>
        <v>11609.6</v>
      </c>
      <c r="G651" s="14">
        <f t="shared" ref="G651:H651" si="195">G652+G657</f>
        <v>11343</v>
      </c>
      <c r="H651" s="14">
        <f t="shared" si="195"/>
        <v>11343</v>
      </c>
    </row>
    <row r="652" spans="1:8" ht="47.25">
      <c r="A652" s="177" t="s">
        <v>35</v>
      </c>
      <c r="B652" s="177" t="s">
        <v>46</v>
      </c>
      <c r="C652" s="177">
        <v>9990225000</v>
      </c>
      <c r="D652" s="177"/>
      <c r="E652" s="178" t="s">
        <v>118</v>
      </c>
      <c r="F652" s="14">
        <f>F653+F655</f>
        <v>11445</v>
      </c>
      <c r="G652" s="14">
        <f>G653+G655</f>
        <v>11343</v>
      </c>
      <c r="H652" s="14">
        <f>H653+H655</f>
        <v>11343</v>
      </c>
    </row>
    <row r="653" spans="1:8" ht="63">
      <c r="A653" s="177" t="s">
        <v>35</v>
      </c>
      <c r="B653" s="177" t="s">
        <v>46</v>
      </c>
      <c r="C653" s="177">
        <v>9990225000</v>
      </c>
      <c r="D653" s="177" t="s">
        <v>68</v>
      </c>
      <c r="E653" s="178" t="s">
        <v>1</v>
      </c>
      <c r="F653" s="14">
        <f>F654</f>
        <v>11358.7</v>
      </c>
      <c r="G653" s="14">
        <f>G654</f>
        <v>11256.7</v>
      </c>
      <c r="H653" s="14">
        <f>H654</f>
        <v>11256.7</v>
      </c>
    </row>
    <row r="654" spans="1:8" ht="31.5">
      <c r="A654" s="177" t="s">
        <v>35</v>
      </c>
      <c r="B654" s="177" t="s">
        <v>46</v>
      </c>
      <c r="C654" s="177">
        <v>9990225000</v>
      </c>
      <c r="D654" s="177">
        <v>120</v>
      </c>
      <c r="E654" s="178" t="s">
        <v>217</v>
      </c>
      <c r="F654" s="14">
        <f>11256.7+102</f>
        <v>11358.7</v>
      </c>
      <c r="G654" s="14">
        <v>11256.7</v>
      </c>
      <c r="H654" s="14">
        <v>11256.7</v>
      </c>
    </row>
    <row r="655" spans="1:8">
      <c r="A655" s="177" t="s">
        <v>35</v>
      </c>
      <c r="B655" s="177" t="s">
        <v>46</v>
      </c>
      <c r="C655" s="177">
        <v>9990225000</v>
      </c>
      <c r="D655" s="177" t="s">
        <v>70</v>
      </c>
      <c r="E655" s="178" t="s">
        <v>71</v>
      </c>
      <c r="F655" s="14">
        <f>F656</f>
        <v>86.3</v>
      </c>
      <c r="G655" s="14">
        <f>G656</f>
        <v>86.3</v>
      </c>
      <c r="H655" s="14">
        <f>H656</f>
        <v>86.3</v>
      </c>
    </row>
    <row r="656" spans="1:8">
      <c r="A656" s="177" t="s">
        <v>35</v>
      </c>
      <c r="B656" s="177" t="s">
        <v>46</v>
      </c>
      <c r="C656" s="177">
        <v>9990225000</v>
      </c>
      <c r="D656" s="177">
        <v>850</v>
      </c>
      <c r="E656" s="178" t="s">
        <v>100</v>
      </c>
      <c r="F656" s="14">
        <v>86.3</v>
      </c>
      <c r="G656" s="14">
        <v>86.3</v>
      </c>
      <c r="H656" s="14">
        <v>86.3</v>
      </c>
    </row>
    <row r="657" spans="1:8" ht="47.25">
      <c r="A657" s="177" t="s">
        <v>35</v>
      </c>
      <c r="B657" s="177" t="s">
        <v>46</v>
      </c>
      <c r="C657" s="92">
        <v>9990255492</v>
      </c>
      <c r="D657" s="177"/>
      <c r="E657" s="178" t="s">
        <v>804</v>
      </c>
      <c r="F657" s="14">
        <f>F658</f>
        <v>164.6</v>
      </c>
      <c r="G657" s="14">
        <f t="shared" ref="G657:G658" si="196">G658</f>
        <v>0</v>
      </c>
      <c r="H657" s="14">
        <f t="shared" ref="H657:H658" si="197">H658</f>
        <v>0</v>
      </c>
    </row>
    <row r="658" spans="1:8" ht="63">
      <c r="A658" s="177" t="s">
        <v>35</v>
      </c>
      <c r="B658" s="177" t="s">
        <v>46</v>
      </c>
      <c r="C658" s="92">
        <v>9990255492</v>
      </c>
      <c r="D658" s="177" t="s">
        <v>68</v>
      </c>
      <c r="E658" s="178" t="s">
        <v>1</v>
      </c>
      <c r="F658" s="14">
        <f>F659</f>
        <v>164.6</v>
      </c>
      <c r="G658" s="14">
        <f t="shared" si="196"/>
        <v>0</v>
      </c>
      <c r="H658" s="14">
        <f t="shared" si="197"/>
        <v>0</v>
      </c>
    </row>
    <row r="659" spans="1:8" ht="31.5">
      <c r="A659" s="177" t="s">
        <v>35</v>
      </c>
      <c r="B659" s="177" t="s">
        <v>46</v>
      </c>
      <c r="C659" s="92">
        <v>9990255492</v>
      </c>
      <c r="D659" s="177">
        <v>120</v>
      </c>
      <c r="E659" s="178" t="s">
        <v>217</v>
      </c>
      <c r="F659" s="14">
        <v>164.6</v>
      </c>
      <c r="G659" s="14">
        <v>0</v>
      </c>
      <c r="H659" s="14">
        <v>0</v>
      </c>
    </row>
    <row r="660" spans="1:8">
      <c r="A660" s="177" t="s">
        <v>35</v>
      </c>
      <c r="B660" s="177" t="s">
        <v>47</v>
      </c>
      <c r="C660" s="177"/>
      <c r="D660" s="177"/>
      <c r="E660" s="178" t="s">
        <v>8</v>
      </c>
      <c r="F660" s="14">
        <f>F661</f>
        <v>1875.2000000000007</v>
      </c>
      <c r="G660" s="14">
        <f t="shared" ref="G660:H664" si="198">G661</f>
        <v>500</v>
      </c>
      <c r="H660" s="14">
        <f t="shared" si="198"/>
        <v>500</v>
      </c>
    </row>
    <row r="661" spans="1:8">
      <c r="A661" s="177" t="s">
        <v>35</v>
      </c>
      <c r="B661" s="177" t="s">
        <v>47</v>
      </c>
      <c r="C661" s="177">
        <v>9900000000</v>
      </c>
      <c r="D661" s="177"/>
      <c r="E661" s="178" t="s">
        <v>105</v>
      </c>
      <c r="F661" s="14">
        <f>F662</f>
        <v>1875.2000000000007</v>
      </c>
      <c r="G661" s="14">
        <f>G662</f>
        <v>500</v>
      </c>
      <c r="H661" s="14">
        <f>H662</f>
        <v>500</v>
      </c>
    </row>
    <row r="662" spans="1:8">
      <c r="A662" s="177" t="s">
        <v>35</v>
      </c>
      <c r="B662" s="177" t="s">
        <v>47</v>
      </c>
      <c r="C662" s="177">
        <v>9910000000</v>
      </c>
      <c r="D662" s="177"/>
      <c r="E662" s="178" t="s">
        <v>8</v>
      </c>
      <c r="F662" s="14">
        <f>F663</f>
        <v>1875.2000000000007</v>
      </c>
      <c r="G662" s="14">
        <f t="shared" si="198"/>
        <v>500</v>
      </c>
      <c r="H662" s="14">
        <f t="shared" si="198"/>
        <v>500</v>
      </c>
    </row>
    <row r="663" spans="1:8">
      <c r="A663" s="177" t="s">
        <v>35</v>
      </c>
      <c r="B663" s="177" t="s">
        <v>47</v>
      </c>
      <c r="C663" s="177">
        <v>9910020000</v>
      </c>
      <c r="D663" s="177"/>
      <c r="E663" s="178" t="s">
        <v>253</v>
      </c>
      <c r="F663" s="14">
        <f>F664</f>
        <v>1875.2000000000007</v>
      </c>
      <c r="G663" s="14">
        <f t="shared" si="198"/>
        <v>500</v>
      </c>
      <c r="H663" s="14">
        <f t="shared" si="198"/>
        <v>500</v>
      </c>
    </row>
    <row r="664" spans="1:8">
      <c r="A664" s="177" t="s">
        <v>35</v>
      </c>
      <c r="B664" s="177" t="s">
        <v>47</v>
      </c>
      <c r="C664" s="177">
        <v>9910020000</v>
      </c>
      <c r="D664" s="177" t="s">
        <v>70</v>
      </c>
      <c r="E664" s="178" t="s">
        <v>71</v>
      </c>
      <c r="F664" s="14">
        <f>F665</f>
        <v>1875.2000000000007</v>
      </c>
      <c r="G664" s="14">
        <f t="shared" si="198"/>
        <v>500</v>
      </c>
      <c r="H664" s="14">
        <f t="shared" si="198"/>
        <v>500</v>
      </c>
    </row>
    <row r="665" spans="1:8">
      <c r="A665" s="177" t="s">
        <v>35</v>
      </c>
      <c r="B665" s="177" t="s">
        <v>47</v>
      </c>
      <c r="C665" s="177">
        <v>9910020000</v>
      </c>
      <c r="D665" s="1" t="s">
        <v>159</v>
      </c>
      <c r="E665" s="26" t="s">
        <v>160</v>
      </c>
      <c r="F665" s="14">
        <f>5000-170.4-4154.4+1200</f>
        <v>1875.2000000000007</v>
      </c>
      <c r="G665" s="14">
        <v>500</v>
      </c>
      <c r="H665" s="14">
        <v>500</v>
      </c>
    </row>
    <row r="666" spans="1:8">
      <c r="A666" s="177" t="s">
        <v>35</v>
      </c>
      <c r="B666" s="177" t="s">
        <v>60</v>
      </c>
      <c r="C666" s="177" t="s">
        <v>66</v>
      </c>
      <c r="D666" s="177" t="s">
        <v>66</v>
      </c>
      <c r="E666" s="178" t="s">
        <v>23</v>
      </c>
      <c r="F666" s="14">
        <f>F667</f>
        <v>2</v>
      </c>
      <c r="G666" s="14">
        <f t="shared" ref="G666:H670" si="199">G667</f>
        <v>0</v>
      </c>
      <c r="H666" s="14">
        <f t="shared" si="199"/>
        <v>0</v>
      </c>
    </row>
    <row r="667" spans="1:8">
      <c r="A667" s="177" t="s">
        <v>35</v>
      </c>
      <c r="B667" s="177" t="s">
        <v>60</v>
      </c>
      <c r="C667" s="177">
        <v>9900000000</v>
      </c>
      <c r="D667" s="177"/>
      <c r="E667" s="178" t="s">
        <v>105</v>
      </c>
      <c r="F667" s="14">
        <f>F668</f>
        <v>2</v>
      </c>
      <c r="G667" s="14">
        <f t="shared" si="199"/>
        <v>0</v>
      </c>
      <c r="H667" s="14">
        <f t="shared" si="199"/>
        <v>0</v>
      </c>
    </row>
    <row r="668" spans="1:8" ht="31.5">
      <c r="A668" s="177" t="s">
        <v>35</v>
      </c>
      <c r="B668" s="177" t="s">
        <v>60</v>
      </c>
      <c r="C668" s="177">
        <v>9930000000</v>
      </c>
      <c r="D668" s="177"/>
      <c r="E668" s="30" t="s">
        <v>154</v>
      </c>
      <c r="F668" s="14">
        <f>F669</f>
        <v>2</v>
      </c>
      <c r="G668" s="14">
        <f t="shared" si="199"/>
        <v>0</v>
      </c>
      <c r="H668" s="14">
        <f t="shared" si="199"/>
        <v>0</v>
      </c>
    </row>
    <row r="669" spans="1:8" ht="31.5">
      <c r="A669" s="177" t="s">
        <v>35</v>
      </c>
      <c r="B669" s="177" t="s">
        <v>60</v>
      </c>
      <c r="C669" s="177">
        <v>9930020490</v>
      </c>
      <c r="D669" s="177"/>
      <c r="E669" s="30" t="s">
        <v>438</v>
      </c>
      <c r="F669" s="14">
        <f>F670</f>
        <v>2</v>
      </c>
      <c r="G669" s="14">
        <f t="shared" si="199"/>
        <v>0</v>
      </c>
      <c r="H669" s="14">
        <f t="shared" si="199"/>
        <v>0</v>
      </c>
    </row>
    <row r="670" spans="1:8">
      <c r="A670" s="177" t="s">
        <v>35</v>
      </c>
      <c r="B670" s="177" t="s">
        <v>60</v>
      </c>
      <c r="C670" s="177">
        <v>9930020490</v>
      </c>
      <c r="D670" s="8" t="s">
        <v>70</v>
      </c>
      <c r="E670" s="22" t="s">
        <v>71</v>
      </c>
      <c r="F670" s="14">
        <f>F671</f>
        <v>2</v>
      </c>
      <c r="G670" s="14">
        <f t="shared" si="199"/>
        <v>0</v>
      </c>
      <c r="H670" s="14">
        <f t="shared" si="199"/>
        <v>0</v>
      </c>
    </row>
    <row r="671" spans="1:8">
      <c r="A671" s="177" t="s">
        <v>35</v>
      </c>
      <c r="B671" s="177" t="s">
        <v>60</v>
      </c>
      <c r="C671" s="177">
        <v>9930020490</v>
      </c>
      <c r="D671" s="1" t="s">
        <v>445</v>
      </c>
      <c r="E671" s="65" t="s">
        <v>446</v>
      </c>
      <c r="F671" s="14">
        <v>2</v>
      </c>
      <c r="G671" s="14">
        <v>0</v>
      </c>
      <c r="H671" s="14">
        <v>0</v>
      </c>
    </row>
    <row r="672" spans="1:8">
      <c r="A672" s="177" t="s">
        <v>35</v>
      </c>
      <c r="B672" s="177" t="s">
        <v>57</v>
      </c>
      <c r="C672" s="177" t="s">
        <v>66</v>
      </c>
      <c r="D672" s="177" t="s">
        <v>66</v>
      </c>
      <c r="E672" s="22" t="s">
        <v>27</v>
      </c>
      <c r="F672" s="14">
        <f t="shared" ref="F672:H677" si="200">F673</f>
        <v>22000</v>
      </c>
      <c r="G672" s="14">
        <f t="shared" si="200"/>
        <v>22000</v>
      </c>
      <c r="H672" s="14">
        <f t="shared" si="200"/>
        <v>14000</v>
      </c>
    </row>
    <row r="673" spans="1:8">
      <c r="A673" s="177" t="s">
        <v>35</v>
      </c>
      <c r="B673" s="58" t="s">
        <v>225</v>
      </c>
      <c r="C673" s="177"/>
      <c r="D673" s="177"/>
      <c r="E673" s="180" t="s">
        <v>226</v>
      </c>
      <c r="F673" s="14">
        <f t="shared" si="200"/>
        <v>22000</v>
      </c>
      <c r="G673" s="14">
        <f t="shared" si="200"/>
        <v>22000</v>
      </c>
      <c r="H673" s="14">
        <f t="shared" si="200"/>
        <v>14000</v>
      </c>
    </row>
    <row r="674" spans="1:8">
      <c r="A674" s="177" t="s">
        <v>35</v>
      </c>
      <c r="B674" s="58" t="s">
        <v>225</v>
      </c>
      <c r="C674" s="177">
        <v>9900000000</v>
      </c>
      <c r="D674" s="177"/>
      <c r="E674" s="178" t="s">
        <v>105</v>
      </c>
      <c r="F674" s="14">
        <f t="shared" si="200"/>
        <v>22000</v>
      </c>
      <c r="G674" s="14">
        <f t="shared" si="200"/>
        <v>22000</v>
      </c>
      <c r="H674" s="14">
        <f t="shared" si="200"/>
        <v>14000</v>
      </c>
    </row>
    <row r="675" spans="1:8" ht="31.5">
      <c r="A675" s="177" t="s">
        <v>35</v>
      </c>
      <c r="B675" s="58" t="s">
        <v>225</v>
      </c>
      <c r="C675" s="177">
        <v>9930000000</v>
      </c>
      <c r="D675" s="177"/>
      <c r="E675" s="30" t="s">
        <v>154</v>
      </c>
      <c r="F675" s="14">
        <f>F676</f>
        <v>22000</v>
      </c>
      <c r="G675" s="14">
        <f>G676</f>
        <v>22000</v>
      </c>
      <c r="H675" s="14">
        <f>H676</f>
        <v>14000</v>
      </c>
    </row>
    <row r="676" spans="1:8" ht="47.25">
      <c r="A676" s="177" t="s">
        <v>35</v>
      </c>
      <c r="B676" s="58" t="s">
        <v>225</v>
      </c>
      <c r="C676" s="177">
        <v>9930020600</v>
      </c>
      <c r="D676" s="1"/>
      <c r="E676" s="60" t="s">
        <v>312</v>
      </c>
      <c r="F676" s="14">
        <f t="shared" si="200"/>
        <v>22000</v>
      </c>
      <c r="G676" s="14">
        <f t="shared" si="200"/>
        <v>22000</v>
      </c>
      <c r="H676" s="14">
        <f t="shared" si="200"/>
        <v>14000</v>
      </c>
    </row>
    <row r="677" spans="1:8">
      <c r="A677" s="177" t="s">
        <v>35</v>
      </c>
      <c r="B677" s="58" t="s">
        <v>225</v>
      </c>
      <c r="C677" s="177">
        <v>9930020600</v>
      </c>
      <c r="D677" s="177" t="s">
        <v>70</v>
      </c>
      <c r="E677" s="178" t="s">
        <v>71</v>
      </c>
      <c r="F677" s="14">
        <f t="shared" si="200"/>
        <v>22000</v>
      </c>
      <c r="G677" s="14">
        <f t="shared" si="200"/>
        <v>22000</v>
      </c>
      <c r="H677" s="14">
        <f t="shared" si="200"/>
        <v>14000</v>
      </c>
    </row>
    <row r="678" spans="1:8">
      <c r="A678" s="177" t="s">
        <v>35</v>
      </c>
      <c r="B678" s="58" t="s">
        <v>225</v>
      </c>
      <c r="C678" s="177">
        <v>9930020600</v>
      </c>
      <c r="D678" s="1" t="s">
        <v>159</v>
      </c>
      <c r="E678" s="26" t="s">
        <v>160</v>
      </c>
      <c r="F678" s="14">
        <v>22000</v>
      </c>
      <c r="G678" s="14">
        <f>22000</f>
        <v>22000</v>
      </c>
      <c r="H678" s="14">
        <v>14000</v>
      </c>
    </row>
    <row r="679" spans="1:8" ht="31.5">
      <c r="A679" s="19" t="s">
        <v>33</v>
      </c>
      <c r="B679" s="30" t="s">
        <v>66</v>
      </c>
      <c r="C679" s="30" t="s">
        <v>66</v>
      </c>
      <c r="D679" s="30" t="s">
        <v>66</v>
      </c>
      <c r="E679" s="55" t="s">
        <v>251</v>
      </c>
      <c r="F679" s="17">
        <f>F680+F712+F720+F728</f>
        <v>38945.700000000004</v>
      </c>
      <c r="G679" s="17">
        <f>G680+G712+G720+G728</f>
        <v>20268.599999999999</v>
      </c>
      <c r="H679" s="17">
        <f>H680+H712+H720+H728</f>
        <v>14746.699999999999</v>
      </c>
    </row>
    <row r="680" spans="1:8">
      <c r="A680" s="177" t="s">
        <v>33</v>
      </c>
      <c r="B680" s="177" t="s">
        <v>54</v>
      </c>
      <c r="C680" s="177" t="s">
        <v>66</v>
      </c>
      <c r="D680" s="177" t="s">
        <v>66</v>
      </c>
      <c r="E680" s="25" t="s">
        <v>20</v>
      </c>
      <c r="F680" s="14">
        <f>F681</f>
        <v>23886.100000000002</v>
      </c>
      <c r="G680" s="14">
        <f t="shared" ref="G680:H680" si="201">G681</f>
        <v>10996.8</v>
      </c>
      <c r="H680" s="14">
        <f t="shared" si="201"/>
        <v>10996.8</v>
      </c>
    </row>
    <row r="681" spans="1:8">
      <c r="A681" s="177" t="s">
        <v>33</v>
      </c>
      <c r="B681" s="177" t="s">
        <v>60</v>
      </c>
      <c r="C681" s="177" t="s">
        <v>66</v>
      </c>
      <c r="D681" s="177" t="s">
        <v>66</v>
      </c>
      <c r="E681" s="178" t="s">
        <v>23</v>
      </c>
      <c r="F681" s="14">
        <f>F682+F697</f>
        <v>23886.100000000002</v>
      </c>
      <c r="G681" s="14">
        <f>G682+G697</f>
        <v>10996.8</v>
      </c>
      <c r="H681" s="14">
        <f>H682+H697</f>
        <v>10996.8</v>
      </c>
    </row>
    <row r="682" spans="1:8" ht="47.25">
      <c r="A682" s="177" t="s">
        <v>33</v>
      </c>
      <c r="B682" s="177" t="s">
        <v>60</v>
      </c>
      <c r="C682" s="177">
        <v>3600000000</v>
      </c>
      <c r="D682" s="177"/>
      <c r="E682" s="178" t="s">
        <v>331</v>
      </c>
      <c r="F682" s="14">
        <f t="shared" ref="F682:H682" si="202">F683</f>
        <v>15076.7</v>
      </c>
      <c r="G682" s="14">
        <f t="shared" si="202"/>
        <v>2403.3000000000002</v>
      </c>
      <c r="H682" s="14">
        <f t="shared" si="202"/>
        <v>2403.3000000000002</v>
      </c>
    </row>
    <row r="683" spans="1:8" ht="31.5">
      <c r="A683" s="177" t="s">
        <v>33</v>
      </c>
      <c r="B683" s="177" t="s">
        <v>60</v>
      </c>
      <c r="C683" s="177">
        <v>3610000000</v>
      </c>
      <c r="D683" s="177"/>
      <c r="E683" s="178" t="s">
        <v>107</v>
      </c>
      <c r="F683" s="14">
        <f>F684+F693</f>
        <v>15076.7</v>
      </c>
      <c r="G683" s="14">
        <f t="shared" ref="G683:H683" si="203">G684+G693</f>
        <v>2403.3000000000002</v>
      </c>
      <c r="H683" s="14">
        <f t="shared" si="203"/>
        <v>2403.3000000000002</v>
      </c>
    </row>
    <row r="684" spans="1:8">
      <c r="A684" s="177" t="s">
        <v>33</v>
      </c>
      <c r="B684" s="177" t="s">
        <v>60</v>
      </c>
      <c r="C684" s="177">
        <v>3610100000</v>
      </c>
      <c r="D684" s="177"/>
      <c r="E684" s="178" t="s">
        <v>108</v>
      </c>
      <c r="F684" s="14">
        <f>F685+F690</f>
        <v>7273.2</v>
      </c>
      <c r="G684" s="14">
        <f>G685+G690</f>
        <v>2403.3000000000002</v>
      </c>
      <c r="H684" s="14">
        <f>H685+H690</f>
        <v>2403.3000000000002</v>
      </c>
    </row>
    <row r="685" spans="1:8">
      <c r="A685" s="177" t="s">
        <v>33</v>
      </c>
      <c r="B685" s="177" t="s">
        <v>60</v>
      </c>
      <c r="C685" s="177">
        <v>3610120210</v>
      </c>
      <c r="D685" s="177"/>
      <c r="E685" s="178" t="s">
        <v>109</v>
      </c>
      <c r="F685" s="14">
        <f>F686+F688</f>
        <v>6955.2</v>
      </c>
      <c r="G685" s="14">
        <f t="shared" ref="G685:H685" si="204">G686+G688</f>
        <v>2403.3000000000002</v>
      </c>
      <c r="H685" s="14">
        <f t="shared" si="204"/>
        <v>2403.3000000000002</v>
      </c>
    </row>
    <row r="686" spans="1:8" ht="31.5">
      <c r="A686" s="177" t="s">
        <v>33</v>
      </c>
      <c r="B686" s="177" t="s">
        <v>60</v>
      </c>
      <c r="C686" s="177">
        <v>3610120210</v>
      </c>
      <c r="D686" s="177" t="s">
        <v>69</v>
      </c>
      <c r="E686" s="178" t="s">
        <v>95</v>
      </c>
      <c r="F686" s="14">
        <f t="shared" ref="F686:H686" si="205">F687</f>
        <v>6895.2</v>
      </c>
      <c r="G686" s="14">
        <f t="shared" si="205"/>
        <v>2403.3000000000002</v>
      </c>
      <c r="H686" s="14">
        <f t="shared" si="205"/>
        <v>2403.3000000000002</v>
      </c>
    </row>
    <row r="687" spans="1:8" ht="31.5">
      <c r="A687" s="177" t="s">
        <v>33</v>
      </c>
      <c r="B687" s="177" t="s">
        <v>60</v>
      </c>
      <c r="C687" s="177">
        <v>3610120210</v>
      </c>
      <c r="D687" s="177">
        <v>240</v>
      </c>
      <c r="E687" s="178" t="s">
        <v>216</v>
      </c>
      <c r="F687" s="14">
        <f>5821.7-10-30.3-30-30+1173.8</f>
        <v>6895.2</v>
      </c>
      <c r="G687" s="14">
        <v>2403.3000000000002</v>
      </c>
      <c r="H687" s="14">
        <v>2403.3000000000002</v>
      </c>
    </row>
    <row r="688" spans="1:8">
      <c r="A688" s="177" t="s">
        <v>33</v>
      </c>
      <c r="B688" s="177" t="s">
        <v>60</v>
      </c>
      <c r="C688" s="177">
        <v>3610120210</v>
      </c>
      <c r="D688" s="8" t="s">
        <v>70</v>
      </c>
      <c r="E688" s="22" t="s">
        <v>71</v>
      </c>
      <c r="F688" s="14">
        <f>F689</f>
        <v>60</v>
      </c>
      <c r="G688" s="14">
        <f t="shared" ref="G688:H688" si="206">G689</f>
        <v>0</v>
      </c>
      <c r="H688" s="14">
        <f t="shared" si="206"/>
        <v>0</v>
      </c>
    </row>
    <row r="689" spans="1:8">
      <c r="A689" s="177" t="s">
        <v>33</v>
      </c>
      <c r="B689" s="177" t="s">
        <v>60</v>
      </c>
      <c r="C689" s="177">
        <v>3610120210</v>
      </c>
      <c r="D689" s="177">
        <v>850</v>
      </c>
      <c r="E689" s="178" t="s">
        <v>100</v>
      </c>
      <c r="F689" s="14">
        <f>30+30</f>
        <v>60</v>
      </c>
      <c r="G689" s="14">
        <v>0</v>
      </c>
      <c r="H689" s="14">
        <v>0</v>
      </c>
    </row>
    <row r="690" spans="1:8" ht="31.5">
      <c r="A690" s="177" t="s">
        <v>33</v>
      </c>
      <c r="B690" s="177" t="s">
        <v>60</v>
      </c>
      <c r="C690" s="177">
        <v>3610120220</v>
      </c>
      <c r="D690" s="177"/>
      <c r="E690" s="178" t="s">
        <v>106</v>
      </c>
      <c r="F690" s="14">
        <f t="shared" ref="F690:H691" si="207">F691</f>
        <v>318</v>
      </c>
      <c r="G690" s="14">
        <f t="shared" si="207"/>
        <v>0</v>
      </c>
      <c r="H690" s="14">
        <f t="shared" si="207"/>
        <v>0</v>
      </c>
    </row>
    <row r="691" spans="1:8" ht="31.5">
      <c r="A691" s="177" t="s">
        <v>33</v>
      </c>
      <c r="B691" s="177" t="s">
        <v>60</v>
      </c>
      <c r="C691" s="177">
        <v>3610120220</v>
      </c>
      <c r="D691" s="177" t="s">
        <v>69</v>
      </c>
      <c r="E691" s="178" t="s">
        <v>95</v>
      </c>
      <c r="F691" s="14">
        <f t="shared" si="207"/>
        <v>318</v>
      </c>
      <c r="G691" s="14">
        <f t="shared" si="207"/>
        <v>0</v>
      </c>
      <c r="H691" s="14">
        <f t="shared" si="207"/>
        <v>0</v>
      </c>
    </row>
    <row r="692" spans="1:8" ht="31.5">
      <c r="A692" s="177" t="s">
        <v>33</v>
      </c>
      <c r="B692" s="177" t="s">
        <v>60</v>
      </c>
      <c r="C692" s="177">
        <v>3610120220</v>
      </c>
      <c r="D692" s="177">
        <v>240</v>
      </c>
      <c r="E692" s="178" t="s">
        <v>216</v>
      </c>
      <c r="F692" s="14">
        <v>318</v>
      </c>
      <c r="G692" s="14">
        <v>0</v>
      </c>
      <c r="H692" s="14">
        <v>0</v>
      </c>
    </row>
    <row r="693" spans="1:8" ht="31.5">
      <c r="A693" s="177" t="s">
        <v>33</v>
      </c>
      <c r="B693" s="177" t="s">
        <v>60</v>
      </c>
      <c r="C693" s="177">
        <v>3610300000</v>
      </c>
      <c r="D693" s="177"/>
      <c r="E693" s="30" t="s">
        <v>414</v>
      </c>
      <c r="F693" s="14">
        <f>F694</f>
        <v>7803.5</v>
      </c>
      <c r="G693" s="14">
        <f t="shared" ref="G693:H695" si="208">G694</f>
        <v>0</v>
      </c>
      <c r="H693" s="14">
        <f t="shared" si="208"/>
        <v>0</v>
      </c>
    </row>
    <row r="694" spans="1:8" ht="31.5">
      <c r="A694" s="177" t="s">
        <v>33</v>
      </c>
      <c r="B694" s="177" t="s">
        <v>60</v>
      </c>
      <c r="C694" s="177">
        <v>3610320030</v>
      </c>
      <c r="D694" s="177"/>
      <c r="E694" s="33" t="s">
        <v>415</v>
      </c>
      <c r="F694" s="14">
        <f>F695</f>
        <v>7803.5</v>
      </c>
      <c r="G694" s="14">
        <f t="shared" si="208"/>
        <v>0</v>
      </c>
      <c r="H694" s="14">
        <f t="shared" si="208"/>
        <v>0</v>
      </c>
    </row>
    <row r="695" spans="1:8" ht="31.5">
      <c r="A695" s="177" t="s">
        <v>33</v>
      </c>
      <c r="B695" s="177" t="s">
        <v>60</v>
      </c>
      <c r="C695" s="177">
        <v>3610320030</v>
      </c>
      <c r="D695" s="177" t="s">
        <v>69</v>
      </c>
      <c r="E695" s="178" t="s">
        <v>95</v>
      </c>
      <c r="F695" s="14">
        <f>F696</f>
        <v>7803.5</v>
      </c>
      <c r="G695" s="14">
        <f t="shared" si="208"/>
        <v>0</v>
      </c>
      <c r="H695" s="14">
        <f t="shared" si="208"/>
        <v>0</v>
      </c>
    </row>
    <row r="696" spans="1:8" ht="31.5">
      <c r="A696" s="177" t="s">
        <v>33</v>
      </c>
      <c r="B696" s="177" t="s">
        <v>60</v>
      </c>
      <c r="C696" s="177">
        <v>3610320030</v>
      </c>
      <c r="D696" s="177">
        <v>240</v>
      </c>
      <c r="E696" s="178" t="s">
        <v>216</v>
      </c>
      <c r="F696" s="14">
        <f>6600+3245.9-441.8-1600.6</f>
        <v>7803.5</v>
      </c>
      <c r="G696" s="14">
        <v>0</v>
      </c>
      <c r="H696" s="14">
        <v>0</v>
      </c>
    </row>
    <row r="697" spans="1:8">
      <c r="A697" s="177" t="s">
        <v>33</v>
      </c>
      <c r="B697" s="177" t="s">
        <v>60</v>
      </c>
      <c r="C697" s="177">
        <v>9900000000</v>
      </c>
      <c r="D697" s="177"/>
      <c r="E697" s="178" t="s">
        <v>105</v>
      </c>
      <c r="F697" s="14">
        <f>F704+F698</f>
        <v>8809.4000000000015</v>
      </c>
      <c r="G697" s="14">
        <f t="shared" ref="G697:H697" si="209">G704+G698</f>
        <v>8593.5</v>
      </c>
      <c r="H697" s="14">
        <f t="shared" si="209"/>
        <v>8593.5</v>
      </c>
    </row>
    <row r="698" spans="1:8" ht="31.5">
      <c r="A698" s="177" t="s">
        <v>33</v>
      </c>
      <c r="B698" s="177" t="s">
        <v>60</v>
      </c>
      <c r="C698" s="177">
        <v>9930000000</v>
      </c>
      <c r="D698" s="177"/>
      <c r="E698" s="30" t="s">
        <v>154</v>
      </c>
      <c r="F698" s="14">
        <f>F699</f>
        <v>51.7</v>
      </c>
      <c r="G698" s="14">
        <f t="shared" ref="G698:H702" si="210">G699</f>
        <v>0</v>
      </c>
      <c r="H698" s="14">
        <f t="shared" si="210"/>
        <v>0</v>
      </c>
    </row>
    <row r="699" spans="1:8" ht="31.5">
      <c r="A699" s="177" t="s">
        <v>33</v>
      </c>
      <c r="B699" s="177" t="s">
        <v>60</v>
      </c>
      <c r="C699" s="177">
        <v>9930020490</v>
      </c>
      <c r="D699" s="177"/>
      <c r="E699" s="30" t="s">
        <v>438</v>
      </c>
      <c r="F699" s="14">
        <f>F702+F700</f>
        <v>51.7</v>
      </c>
      <c r="G699" s="14">
        <f t="shared" ref="G699:H699" si="211">G702+G700</f>
        <v>0</v>
      </c>
      <c r="H699" s="14">
        <f t="shared" si="211"/>
        <v>0</v>
      </c>
    </row>
    <row r="700" spans="1:8" ht="31.5">
      <c r="A700" s="177" t="s">
        <v>33</v>
      </c>
      <c r="B700" s="177" t="s">
        <v>60</v>
      </c>
      <c r="C700" s="177">
        <v>9930020490</v>
      </c>
      <c r="D700" s="177" t="s">
        <v>69</v>
      </c>
      <c r="E700" s="178" t="s">
        <v>95</v>
      </c>
      <c r="F700" s="14">
        <f>F701</f>
        <v>27.700000000000003</v>
      </c>
      <c r="G700" s="14">
        <f t="shared" ref="G700:H700" si="212">G701</f>
        <v>0</v>
      </c>
      <c r="H700" s="14">
        <f t="shared" si="212"/>
        <v>0</v>
      </c>
    </row>
    <row r="701" spans="1:8" ht="31.5">
      <c r="A701" s="177" t="s">
        <v>33</v>
      </c>
      <c r="B701" s="177" t="s">
        <v>60</v>
      </c>
      <c r="C701" s="177">
        <v>9930020490</v>
      </c>
      <c r="D701" s="177">
        <v>240</v>
      </c>
      <c r="E701" s="178" t="s">
        <v>216</v>
      </c>
      <c r="F701" s="14">
        <f>20.3+7.4</f>
        <v>27.700000000000003</v>
      </c>
      <c r="G701" s="14">
        <v>0</v>
      </c>
      <c r="H701" s="14">
        <v>0</v>
      </c>
    </row>
    <row r="702" spans="1:8">
      <c r="A702" s="177" t="s">
        <v>33</v>
      </c>
      <c r="B702" s="177" t="s">
        <v>60</v>
      </c>
      <c r="C702" s="177">
        <v>9930020490</v>
      </c>
      <c r="D702" s="8" t="s">
        <v>70</v>
      </c>
      <c r="E702" s="22" t="s">
        <v>71</v>
      </c>
      <c r="F702" s="14">
        <f>F703</f>
        <v>24</v>
      </c>
      <c r="G702" s="14">
        <f t="shared" si="210"/>
        <v>0</v>
      </c>
      <c r="H702" s="14">
        <f t="shared" si="210"/>
        <v>0</v>
      </c>
    </row>
    <row r="703" spans="1:8">
      <c r="A703" s="177" t="s">
        <v>33</v>
      </c>
      <c r="B703" s="177" t="s">
        <v>60</v>
      </c>
      <c r="C703" s="177">
        <v>9930020490</v>
      </c>
      <c r="D703" s="1" t="s">
        <v>445</v>
      </c>
      <c r="E703" s="65" t="s">
        <v>446</v>
      </c>
      <c r="F703" s="14">
        <f>10+10+4</f>
        <v>24</v>
      </c>
      <c r="G703" s="14">
        <v>0</v>
      </c>
      <c r="H703" s="14">
        <v>0</v>
      </c>
    </row>
    <row r="704" spans="1:8" ht="31.5">
      <c r="A704" s="177" t="s">
        <v>33</v>
      </c>
      <c r="B704" s="177" t="s">
        <v>60</v>
      </c>
      <c r="C704" s="177">
        <v>9990000000</v>
      </c>
      <c r="D704" s="177"/>
      <c r="E704" s="178" t="s">
        <v>145</v>
      </c>
      <c r="F704" s="14">
        <f>F705</f>
        <v>8757.7000000000007</v>
      </c>
      <c r="G704" s="14">
        <f t="shared" ref="G704:H706" si="213">G705</f>
        <v>8593.5</v>
      </c>
      <c r="H704" s="14">
        <f t="shared" si="213"/>
        <v>8593.5</v>
      </c>
    </row>
    <row r="705" spans="1:8" ht="31.5">
      <c r="A705" s="177" t="s">
        <v>33</v>
      </c>
      <c r="B705" s="177" t="s">
        <v>60</v>
      </c>
      <c r="C705" s="177">
        <v>9990200000</v>
      </c>
      <c r="D705" s="30"/>
      <c r="E705" s="178" t="s">
        <v>117</v>
      </c>
      <c r="F705" s="14">
        <f>F706+F709</f>
        <v>8757.7000000000007</v>
      </c>
      <c r="G705" s="14">
        <f t="shared" ref="G705:H705" si="214">G706+G709</f>
        <v>8593.5</v>
      </c>
      <c r="H705" s="14">
        <f t="shared" si="214"/>
        <v>8593.5</v>
      </c>
    </row>
    <row r="706" spans="1:8" ht="47.25">
      <c r="A706" s="177" t="s">
        <v>33</v>
      </c>
      <c r="B706" s="177" t="s">
        <v>60</v>
      </c>
      <c r="C706" s="177">
        <v>9990225000</v>
      </c>
      <c r="D706" s="177"/>
      <c r="E706" s="178" t="s">
        <v>118</v>
      </c>
      <c r="F706" s="14">
        <f>F707</f>
        <v>8623</v>
      </c>
      <c r="G706" s="14">
        <f t="shared" si="213"/>
        <v>8593.5</v>
      </c>
      <c r="H706" s="14">
        <f t="shared" si="213"/>
        <v>8593.5</v>
      </c>
    </row>
    <row r="707" spans="1:8" ht="63">
      <c r="A707" s="177" t="s">
        <v>33</v>
      </c>
      <c r="B707" s="177" t="s">
        <v>60</v>
      </c>
      <c r="C707" s="177">
        <v>9990225000</v>
      </c>
      <c r="D707" s="177" t="s">
        <v>68</v>
      </c>
      <c r="E707" s="178" t="s">
        <v>1</v>
      </c>
      <c r="F707" s="14">
        <f>F708</f>
        <v>8623</v>
      </c>
      <c r="G707" s="14">
        <f>G708</f>
        <v>8593.5</v>
      </c>
      <c r="H707" s="14">
        <f>H708</f>
        <v>8593.5</v>
      </c>
    </row>
    <row r="708" spans="1:8" ht="31.5">
      <c r="A708" s="177" t="s">
        <v>33</v>
      </c>
      <c r="B708" s="177" t="s">
        <v>60</v>
      </c>
      <c r="C708" s="177">
        <v>9990225000</v>
      </c>
      <c r="D708" s="177">
        <v>120</v>
      </c>
      <c r="E708" s="178" t="s">
        <v>217</v>
      </c>
      <c r="F708" s="14">
        <f>8573+50</f>
        <v>8623</v>
      </c>
      <c r="G708" s="14">
        <v>8593.5</v>
      </c>
      <c r="H708" s="14">
        <v>8593.5</v>
      </c>
    </row>
    <row r="709" spans="1:8" ht="47.25">
      <c r="A709" s="177" t="s">
        <v>33</v>
      </c>
      <c r="B709" s="177" t="s">
        <v>60</v>
      </c>
      <c r="C709" s="92">
        <v>9990255492</v>
      </c>
      <c r="D709" s="177"/>
      <c r="E709" s="178" t="s">
        <v>804</v>
      </c>
      <c r="F709" s="14">
        <f>F710</f>
        <v>134.69999999999999</v>
      </c>
      <c r="G709" s="14">
        <f t="shared" ref="G709:H710" si="215">G710</f>
        <v>0</v>
      </c>
      <c r="H709" s="14">
        <f t="shared" si="215"/>
        <v>0</v>
      </c>
    </row>
    <row r="710" spans="1:8" ht="63">
      <c r="A710" s="177" t="s">
        <v>33</v>
      </c>
      <c r="B710" s="177" t="s">
        <v>60</v>
      </c>
      <c r="C710" s="92">
        <v>9990255492</v>
      </c>
      <c r="D710" s="177" t="s">
        <v>68</v>
      </c>
      <c r="E710" s="178" t="s">
        <v>1</v>
      </c>
      <c r="F710" s="14">
        <f>F711</f>
        <v>134.69999999999999</v>
      </c>
      <c r="G710" s="14">
        <f t="shared" si="215"/>
        <v>0</v>
      </c>
      <c r="H710" s="14">
        <f t="shared" si="215"/>
        <v>0</v>
      </c>
    </row>
    <row r="711" spans="1:8" ht="31.5">
      <c r="A711" s="177" t="s">
        <v>33</v>
      </c>
      <c r="B711" s="177" t="s">
        <v>60</v>
      </c>
      <c r="C711" s="92">
        <v>9990255492</v>
      </c>
      <c r="D711" s="177">
        <v>120</v>
      </c>
      <c r="E711" s="178" t="s">
        <v>217</v>
      </c>
      <c r="F711" s="14">
        <v>134.69999999999999</v>
      </c>
      <c r="G711" s="14">
        <v>0</v>
      </c>
      <c r="H711" s="14">
        <v>0</v>
      </c>
    </row>
    <row r="712" spans="1:8">
      <c r="A712" s="177" t="s">
        <v>33</v>
      </c>
      <c r="B712" s="177" t="s">
        <v>56</v>
      </c>
      <c r="C712" s="177" t="s">
        <v>66</v>
      </c>
      <c r="D712" s="177" t="s">
        <v>66</v>
      </c>
      <c r="E712" s="178" t="s">
        <v>25</v>
      </c>
      <c r="F712" s="14">
        <f t="shared" ref="F712:H718" si="216">F713</f>
        <v>266</v>
      </c>
      <c r="G712" s="14">
        <f t="shared" si="216"/>
        <v>0</v>
      </c>
      <c r="H712" s="14">
        <f t="shared" si="216"/>
        <v>0</v>
      </c>
    </row>
    <row r="713" spans="1:8">
      <c r="A713" s="177" t="s">
        <v>33</v>
      </c>
      <c r="B713" s="177" t="s">
        <v>48</v>
      </c>
      <c r="C713" s="177" t="s">
        <v>66</v>
      </c>
      <c r="D713" s="177" t="s">
        <v>66</v>
      </c>
      <c r="E713" s="178" t="s">
        <v>26</v>
      </c>
      <c r="F713" s="14">
        <f t="shared" si="216"/>
        <v>266</v>
      </c>
      <c r="G713" s="14">
        <f t="shared" si="216"/>
        <v>0</v>
      </c>
      <c r="H713" s="14">
        <f t="shared" si="216"/>
        <v>0</v>
      </c>
    </row>
    <row r="714" spans="1:8" ht="47.25">
      <c r="A714" s="177" t="s">
        <v>33</v>
      </c>
      <c r="B714" s="177" t="s">
        <v>48</v>
      </c>
      <c r="C714" s="177">
        <v>3600000000</v>
      </c>
      <c r="D714" s="177"/>
      <c r="E714" s="178" t="s">
        <v>331</v>
      </c>
      <c r="F714" s="14">
        <f t="shared" si="216"/>
        <v>266</v>
      </c>
      <c r="G714" s="14">
        <f t="shared" si="216"/>
        <v>0</v>
      </c>
      <c r="H714" s="14">
        <f t="shared" si="216"/>
        <v>0</v>
      </c>
    </row>
    <row r="715" spans="1:8" ht="31.5">
      <c r="A715" s="177" t="s">
        <v>33</v>
      </c>
      <c r="B715" s="177" t="s">
        <v>48</v>
      </c>
      <c r="C715" s="177">
        <v>3610000000</v>
      </c>
      <c r="D715" s="177"/>
      <c r="E715" s="178" t="s">
        <v>107</v>
      </c>
      <c r="F715" s="14">
        <f t="shared" si="216"/>
        <v>266</v>
      </c>
      <c r="G715" s="14">
        <f t="shared" si="216"/>
        <v>0</v>
      </c>
      <c r="H715" s="14">
        <f t="shared" si="216"/>
        <v>0</v>
      </c>
    </row>
    <row r="716" spans="1:8">
      <c r="A716" s="177" t="s">
        <v>33</v>
      </c>
      <c r="B716" s="177" t="s">
        <v>48</v>
      </c>
      <c r="C716" s="177">
        <v>3610100000</v>
      </c>
      <c r="D716" s="177"/>
      <c r="E716" s="178" t="s">
        <v>108</v>
      </c>
      <c r="F716" s="14">
        <f t="shared" si="216"/>
        <v>266</v>
      </c>
      <c r="G716" s="14">
        <f t="shared" si="216"/>
        <v>0</v>
      </c>
      <c r="H716" s="14">
        <f t="shared" si="216"/>
        <v>0</v>
      </c>
    </row>
    <row r="717" spans="1:8" ht="31.5">
      <c r="A717" s="177" t="s">
        <v>33</v>
      </c>
      <c r="B717" s="177" t="s">
        <v>48</v>
      </c>
      <c r="C717" s="177">
        <v>3610120240</v>
      </c>
      <c r="D717" s="177"/>
      <c r="E717" s="178" t="s">
        <v>111</v>
      </c>
      <c r="F717" s="14">
        <f t="shared" si="216"/>
        <v>266</v>
      </c>
      <c r="G717" s="14">
        <f t="shared" si="216"/>
        <v>0</v>
      </c>
      <c r="H717" s="14">
        <f t="shared" si="216"/>
        <v>0</v>
      </c>
    </row>
    <row r="718" spans="1:8" ht="31.5">
      <c r="A718" s="177" t="s">
        <v>33</v>
      </c>
      <c r="B718" s="177" t="s">
        <v>48</v>
      </c>
      <c r="C718" s="177">
        <v>3610120240</v>
      </c>
      <c r="D718" s="177" t="s">
        <v>69</v>
      </c>
      <c r="E718" s="178" t="s">
        <v>95</v>
      </c>
      <c r="F718" s="14">
        <f t="shared" si="216"/>
        <v>266</v>
      </c>
      <c r="G718" s="14">
        <f t="shared" si="216"/>
        <v>0</v>
      </c>
      <c r="H718" s="14">
        <f t="shared" si="216"/>
        <v>0</v>
      </c>
    </row>
    <row r="719" spans="1:8" ht="31.5">
      <c r="A719" s="177" t="s">
        <v>33</v>
      </c>
      <c r="B719" s="177" t="s">
        <v>48</v>
      </c>
      <c r="C719" s="177">
        <v>3610120240</v>
      </c>
      <c r="D719" s="177">
        <v>240</v>
      </c>
      <c r="E719" s="178" t="s">
        <v>216</v>
      </c>
      <c r="F719" s="14">
        <v>266</v>
      </c>
      <c r="G719" s="14">
        <v>0</v>
      </c>
      <c r="H719" s="14">
        <v>0</v>
      </c>
    </row>
    <row r="720" spans="1:8">
      <c r="A720" s="177" t="s">
        <v>33</v>
      </c>
      <c r="B720" s="177" t="s">
        <v>57</v>
      </c>
      <c r="C720" s="177" t="s">
        <v>66</v>
      </c>
      <c r="D720" s="177" t="s">
        <v>66</v>
      </c>
      <c r="E720" s="178" t="s">
        <v>27</v>
      </c>
      <c r="F720" s="14">
        <f t="shared" ref="F720:H726" si="217">F721</f>
        <v>3749.9</v>
      </c>
      <c r="G720" s="14">
        <f t="shared" si="217"/>
        <v>3749.9</v>
      </c>
      <c r="H720" s="14">
        <f t="shared" si="217"/>
        <v>3749.9</v>
      </c>
    </row>
    <row r="721" spans="1:8">
      <c r="A721" s="177" t="s">
        <v>33</v>
      </c>
      <c r="B721" s="177" t="s">
        <v>4</v>
      </c>
      <c r="C721" s="177" t="s">
        <v>66</v>
      </c>
      <c r="D721" s="177" t="s">
        <v>66</v>
      </c>
      <c r="E721" s="178" t="s">
        <v>5</v>
      </c>
      <c r="F721" s="14">
        <f t="shared" si="217"/>
        <v>3749.9</v>
      </c>
      <c r="G721" s="14">
        <f t="shared" si="217"/>
        <v>3749.9</v>
      </c>
      <c r="H721" s="14">
        <f t="shared" si="217"/>
        <v>3749.9</v>
      </c>
    </row>
    <row r="722" spans="1:8" ht="47.25">
      <c r="A722" s="177" t="s">
        <v>33</v>
      </c>
      <c r="B722" s="177" t="s">
        <v>4</v>
      </c>
      <c r="C722" s="177">
        <v>3600000000</v>
      </c>
      <c r="D722" s="177"/>
      <c r="E722" s="178" t="s">
        <v>331</v>
      </c>
      <c r="F722" s="14">
        <f t="shared" si="217"/>
        <v>3749.9</v>
      </c>
      <c r="G722" s="14">
        <f t="shared" si="217"/>
        <v>3749.9</v>
      </c>
      <c r="H722" s="14">
        <f t="shared" si="217"/>
        <v>3749.9</v>
      </c>
    </row>
    <row r="723" spans="1:8" ht="31.5">
      <c r="A723" s="177" t="s">
        <v>33</v>
      </c>
      <c r="B723" s="177" t="s">
        <v>4</v>
      </c>
      <c r="C723" s="177">
        <v>3610000000</v>
      </c>
      <c r="D723" s="177"/>
      <c r="E723" s="178" t="s">
        <v>107</v>
      </c>
      <c r="F723" s="14">
        <f>F724</f>
        <v>3749.9</v>
      </c>
      <c r="G723" s="14">
        <f t="shared" si="217"/>
        <v>3749.9</v>
      </c>
      <c r="H723" s="14">
        <f t="shared" si="217"/>
        <v>3749.9</v>
      </c>
    </row>
    <row r="724" spans="1:8">
      <c r="A724" s="177" t="s">
        <v>33</v>
      </c>
      <c r="B724" s="177" t="s">
        <v>4</v>
      </c>
      <c r="C724" s="177">
        <v>3610000000</v>
      </c>
      <c r="D724" s="177"/>
      <c r="E724" s="178" t="s">
        <v>108</v>
      </c>
      <c r="F724" s="14">
        <f t="shared" si="217"/>
        <v>3749.9</v>
      </c>
      <c r="G724" s="14">
        <f t="shared" si="217"/>
        <v>3749.9</v>
      </c>
      <c r="H724" s="14">
        <f t="shared" si="217"/>
        <v>3749.9</v>
      </c>
    </row>
    <row r="725" spans="1:8" ht="47.25">
      <c r="A725" s="177" t="s">
        <v>33</v>
      </c>
      <c r="B725" s="177" t="s">
        <v>4</v>
      </c>
      <c r="C725" s="177">
        <v>3610120230</v>
      </c>
      <c r="D725" s="177"/>
      <c r="E725" s="178" t="s">
        <v>113</v>
      </c>
      <c r="F725" s="14">
        <f t="shared" si="217"/>
        <v>3749.9</v>
      </c>
      <c r="G725" s="14">
        <f t="shared" si="217"/>
        <v>3749.9</v>
      </c>
      <c r="H725" s="14">
        <f t="shared" si="217"/>
        <v>3749.9</v>
      </c>
    </row>
    <row r="726" spans="1:8" ht="31.5">
      <c r="A726" s="177" t="s">
        <v>33</v>
      </c>
      <c r="B726" s="177" t="s">
        <v>4</v>
      </c>
      <c r="C726" s="177">
        <v>3610120230</v>
      </c>
      <c r="D726" s="177" t="s">
        <v>69</v>
      </c>
      <c r="E726" s="178" t="s">
        <v>95</v>
      </c>
      <c r="F726" s="14">
        <f t="shared" si="217"/>
        <v>3749.9</v>
      </c>
      <c r="G726" s="14">
        <f t="shared" si="217"/>
        <v>3749.9</v>
      </c>
      <c r="H726" s="14">
        <f t="shared" si="217"/>
        <v>3749.9</v>
      </c>
    </row>
    <row r="727" spans="1:8" ht="31.5">
      <c r="A727" s="177" t="s">
        <v>33</v>
      </c>
      <c r="B727" s="177" t="s">
        <v>4</v>
      </c>
      <c r="C727" s="177">
        <v>3610120230</v>
      </c>
      <c r="D727" s="177">
        <v>240</v>
      </c>
      <c r="E727" s="178" t="s">
        <v>216</v>
      </c>
      <c r="F727" s="14">
        <v>3749.9</v>
      </c>
      <c r="G727" s="14">
        <v>3749.9</v>
      </c>
      <c r="H727" s="14">
        <v>3749.9</v>
      </c>
    </row>
    <row r="728" spans="1:8">
      <c r="A728" s="177" t="s">
        <v>33</v>
      </c>
      <c r="B728" s="177" t="s">
        <v>39</v>
      </c>
      <c r="C728" s="177" t="s">
        <v>66</v>
      </c>
      <c r="D728" s="177" t="s">
        <v>66</v>
      </c>
      <c r="E728" s="178" t="s">
        <v>31</v>
      </c>
      <c r="F728" s="14">
        <f>F729</f>
        <v>11043.7</v>
      </c>
      <c r="G728" s="14">
        <f>G729</f>
        <v>5521.9</v>
      </c>
      <c r="H728" s="14">
        <f>H729</f>
        <v>0</v>
      </c>
    </row>
    <row r="729" spans="1:8">
      <c r="A729" s="177" t="s">
        <v>33</v>
      </c>
      <c r="B729" s="177" t="s">
        <v>84</v>
      </c>
      <c r="C729" s="177" t="s">
        <v>66</v>
      </c>
      <c r="D729" s="177" t="s">
        <v>66</v>
      </c>
      <c r="E729" s="178" t="s">
        <v>85</v>
      </c>
      <c r="F729" s="14">
        <f t="shared" ref="F729:H732" si="218">F730</f>
        <v>11043.7</v>
      </c>
      <c r="G729" s="14">
        <f t="shared" si="218"/>
        <v>5521.9</v>
      </c>
      <c r="H729" s="14">
        <f t="shared" si="218"/>
        <v>0</v>
      </c>
    </row>
    <row r="730" spans="1:8" ht="47.25">
      <c r="A730" s="177" t="s">
        <v>33</v>
      </c>
      <c r="B730" s="177" t="s">
        <v>84</v>
      </c>
      <c r="C730" s="177">
        <v>3600000000</v>
      </c>
      <c r="D730" s="177"/>
      <c r="E730" s="178" t="s">
        <v>331</v>
      </c>
      <c r="F730" s="14">
        <f t="shared" si="218"/>
        <v>11043.7</v>
      </c>
      <c r="G730" s="14">
        <f t="shared" si="218"/>
        <v>5521.9</v>
      </c>
      <c r="H730" s="14">
        <f t="shared" si="218"/>
        <v>0</v>
      </c>
    </row>
    <row r="731" spans="1:8" ht="31.5">
      <c r="A731" s="177" t="s">
        <v>33</v>
      </c>
      <c r="B731" s="177" t="s">
        <v>84</v>
      </c>
      <c r="C731" s="177">
        <v>3610000000</v>
      </c>
      <c r="D731" s="177"/>
      <c r="E731" s="178" t="s">
        <v>107</v>
      </c>
      <c r="F731" s="14">
        <f t="shared" si="218"/>
        <v>11043.7</v>
      </c>
      <c r="G731" s="14">
        <f t="shared" si="218"/>
        <v>5521.9</v>
      </c>
      <c r="H731" s="14">
        <f t="shared" si="218"/>
        <v>0</v>
      </c>
    </row>
    <row r="732" spans="1:8" ht="31.5">
      <c r="A732" s="177" t="s">
        <v>33</v>
      </c>
      <c r="B732" s="177" t="s">
        <v>84</v>
      </c>
      <c r="C732" s="177">
        <v>3610200000</v>
      </c>
      <c r="D732" s="177"/>
      <c r="E732" s="178" t="s">
        <v>112</v>
      </c>
      <c r="F732" s="14">
        <f>F733</f>
        <v>11043.7</v>
      </c>
      <c r="G732" s="14">
        <f t="shared" si="218"/>
        <v>5521.9</v>
      </c>
      <c r="H732" s="14">
        <f t="shared" si="218"/>
        <v>0</v>
      </c>
    </row>
    <row r="733" spans="1:8" ht="63">
      <c r="A733" s="177" t="s">
        <v>33</v>
      </c>
      <c r="B733" s="177" t="s">
        <v>84</v>
      </c>
      <c r="C733" s="177" t="s">
        <v>422</v>
      </c>
      <c r="D733" s="177"/>
      <c r="E733" s="30" t="s">
        <v>421</v>
      </c>
      <c r="F733" s="14">
        <f t="shared" ref="F733:H734" si="219">F734</f>
        <v>11043.7</v>
      </c>
      <c r="G733" s="14">
        <f t="shared" si="219"/>
        <v>5521.9</v>
      </c>
      <c r="H733" s="14">
        <f t="shared" si="219"/>
        <v>0</v>
      </c>
    </row>
    <row r="734" spans="1:8" ht="31.5">
      <c r="A734" s="177" t="s">
        <v>33</v>
      </c>
      <c r="B734" s="177" t="s">
        <v>84</v>
      </c>
      <c r="C734" s="177" t="s">
        <v>422</v>
      </c>
      <c r="D734" s="177" t="s">
        <v>72</v>
      </c>
      <c r="E734" s="30" t="s">
        <v>96</v>
      </c>
      <c r="F734" s="14">
        <f t="shared" si="219"/>
        <v>11043.7</v>
      </c>
      <c r="G734" s="14">
        <f t="shared" si="219"/>
        <v>5521.9</v>
      </c>
      <c r="H734" s="14">
        <f t="shared" si="219"/>
        <v>0</v>
      </c>
    </row>
    <row r="735" spans="1:8">
      <c r="A735" s="177" t="s">
        <v>33</v>
      </c>
      <c r="B735" s="177" t="s">
        <v>84</v>
      </c>
      <c r="C735" s="177" t="s">
        <v>422</v>
      </c>
      <c r="D735" s="177" t="s">
        <v>119</v>
      </c>
      <c r="E735" s="30" t="s">
        <v>120</v>
      </c>
      <c r="F735" s="14">
        <f>9203.1+1840.6</f>
        <v>11043.7</v>
      </c>
      <c r="G735" s="14">
        <v>5521.9</v>
      </c>
      <c r="H735" s="14">
        <v>0</v>
      </c>
    </row>
    <row r="736" spans="1:8">
      <c r="A736" s="19" t="s">
        <v>14</v>
      </c>
      <c r="B736" s="30" t="s">
        <v>66</v>
      </c>
      <c r="C736" s="30" t="s">
        <v>66</v>
      </c>
      <c r="D736" s="30" t="s">
        <v>66</v>
      </c>
      <c r="E736" s="24" t="s">
        <v>2</v>
      </c>
      <c r="F736" s="17">
        <f t="shared" ref="F736:F741" si="220">F737</f>
        <v>1495.3000000000002</v>
      </c>
      <c r="G736" s="17">
        <f t="shared" ref="G736:H741" si="221">G737</f>
        <v>0</v>
      </c>
      <c r="H736" s="17">
        <f t="shared" si="221"/>
        <v>0</v>
      </c>
    </row>
    <row r="737" spans="1:8">
      <c r="A737" s="177" t="s">
        <v>14</v>
      </c>
      <c r="B737" s="177" t="s">
        <v>54</v>
      </c>
      <c r="C737" s="177" t="s">
        <v>66</v>
      </c>
      <c r="D737" s="177" t="s">
        <v>66</v>
      </c>
      <c r="E737" s="25" t="s">
        <v>20</v>
      </c>
      <c r="F737" s="14">
        <f t="shared" si="220"/>
        <v>1495.3000000000002</v>
      </c>
      <c r="G737" s="14">
        <f t="shared" si="221"/>
        <v>0</v>
      </c>
      <c r="H737" s="14">
        <f t="shared" si="221"/>
        <v>0</v>
      </c>
    </row>
    <row r="738" spans="1:8" ht="47.25">
      <c r="A738" s="177" t="s">
        <v>14</v>
      </c>
      <c r="B738" s="177" t="s">
        <v>44</v>
      </c>
      <c r="C738" s="177" t="s">
        <v>66</v>
      </c>
      <c r="D738" s="177" t="s">
        <v>66</v>
      </c>
      <c r="E738" s="178" t="s">
        <v>21</v>
      </c>
      <c r="F738" s="14">
        <f t="shared" si="220"/>
        <v>1495.3000000000002</v>
      </c>
      <c r="G738" s="14">
        <f t="shared" si="221"/>
        <v>0</v>
      </c>
      <c r="H738" s="14">
        <f t="shared" si="221"/>
        <v>0</v>
      </c>
    </row>
    <row r="739" spans="1:8">
      <c r="A739" s="177" t="s">
        <v>14</v>
      </c>
      <c r="B739" s="177" t="s">
        <v>44</v>
      </c>
      <c r="C739" s="177" t="s">
        <v>110</v>
      </c>
      <c r="D739" s="177" t="s">
        <v>66</v>
      </c>
      <c r="E739" s="178" t="s">
        <v>105</v>
      </c>
      <c r="F739" s="14">
        <f t="shared" si="220"/>
        <v>1495.3000000000002</v>
      </c>
      <c r="G739" s="14">
        <f t="shared" si="221"/>
        <v>0</v>
      </c>
      <c r="H739" s="14">
        <f t="shared" si="221"/>
        <v>0</v>
      </c>
    </row>
    <row r="740" spans="1:8" ht="31.5">
      <c r="A740" s="177" t="s">
        <v>14</v>
      </c>
      <c r="B740" s="177" t="s">
        <v>44</v>
      </c>
      <c r="C740" s="177">
        <v>9990000000</v>
      </c>
      <c r="D740" s="177"/>
      <c r="E740" s="178" t="s">
        <v>145</v>
      </c>
      <c r="F740" s="14">
        <f t="shared" si="220"/>
        <v>1495.3000000000002</v>
      </c>
      <c r="G740" s="14">
        <f t="shared" si="221"/>
        <v>0</v>
      </c>
      <c r="H740" s="14">
        <f t="shared" si="221"/>
        <v>0</v>
      </c>
    </row>
    <row r="741" spans="1:8" ht="31.5">
      <c r="A741" s="177" t="s">
        <v>14</v>
      </c>
      <c r="B741" s="177" t="s">
        <v>44</v>
      </c>
      <c r="C741" s="177">
        <v>9990100000</v>
      </c>
      <c r="D741" s="177"/>
      <c r="E741" s="178" t="s">
        <v>161</v>
      </c>
      <c r="F741" s="14">
        <f t="shared" si="220"/>
        <v>1495.3000000000002</v>
      </c>
      <c r="G741" s="14">
        <f t="shared" si="221"/>
        <v>0</v>
      </c>
      <c r="H741" s="14">
        <f t="shared" si="221"/>
        <v>0</v>
      </c>
    </row>
    <row r="742" spans="1:8" ht="31.5">
      <c r="A742" s="177" t="s">
        <v>14</v>
      </c>
      <c r="B742" s="177" t="s">
        <v>44</v>
      </c>
      <c r="C742" s="177">
        <v>9990123000</v>
      </c>
      <c r="D742" s="177"/>
      <c r="E742" s="178" t="s">
        <v>162</v>
      </c>
      <c r="F742" s="14">
        <f>F743+F745</f>
        <v>1495.3000000000002</v>
      </c>
      <c r="G742" s="14">
        <f>G743+G745</f>
        <v>0</v>
      </c>
      <c r="H742" s="14">
        <f>H743+H745</f>
        <v>0</v>
      </c>
    </row>
    <row r="743" spans="1:8" ht="63">
      <c r="A743" s="177" t="s">
        <v>14</v>
      </c>
      <c r="B743" s="177" t="s">
        <v>44</v>
      </c>
      <c r="C743" s="177">
        <v>9990123000</v>
      </c>
      <c r="D743" s="177" t="s">
        <v>68</v>
      </c>
      <c r="E743" s="178" t="s">
        <v>1</v>
      </c>
      <c r="F743" s="14">
        <f>F744</f>
        <v>1286.9000000000001</v>
      </c>
      <c r="G743" s="14">
        <f>G744</f>
        <v>0</v>
      </c>
      <c r="H743" s="14">
        <f>H744</f>
        <v>0</v>
      </c>
    </row>
    <row r="744" spans="1:8" ht="31.5">
      <c r="A744" s="177" t="s">
        <v>14</v>
      </c>
      <c r="B744" s="177" t="s">
        <v>44</v>
      </c>
      <c r="C744" s="177">
        <v>9990123000</v>
      </c>
      <c r="D744" s="177">
        <v>120</v>
      </c>
      <c r="E744" s="178" t="s">
        <v>217</v>
      </c>
      <c r="F744" s="14">
        <f>1891.5-450.3-154.3</f>
        <v>1286.9000000000001</v>
      </c>
      <c r="G744" s="14">
        <f>1907.5-1907.5</f>
        <v>0</v>
      </c>
      <c r="H744" s="14">
        <f>1907.5-1907.5</f>
        <v>0</v>
      </c>
    </row>
    <row r="745" spans="1:8" ht="31.5">
      <c r="A745" s="177" t="s">
        <v>14</v>
      </c>
      <c r="B745" s="177" t="s">
        <v>44</v>
      </c>
      <c r="C745" s="177">
        <v>9990123000</v>
      </c>
      <c r="D745" s="177" t="s">
        <v>69</v>
      </c>
      <c r="E745" s="178" t="s">
        <v>95</v>
      </c>
      <c r="F745" s="14">
        <f>F746</f>
        <v>208.39999999999998</v>
      </c>
      <c r="G745" s="14">
        <f>G746</f>
        <v>0</v>
      </c>
      <c r="H745" s="14">
        <f>H746</f>
        <v>0</v>
      </c>
    </row>
    <row r="746" spans="1:8" ht="31.5">
      <c r="A746" s="177" t="s">
        <v>14</v>
      </c>
      <c r="B746" s="177" t="s">
        <v>44</v>
      </c>
      <c r="C746" s="177">
        <v>9990123000</v>
      </c>
      <c r="D746" s="177">
        <v>240</v>
      </c>
      <c r="E746" s="178" t="s">
        <v>216</v>
      </c>
      <c r="F746" s="14">
        <f>615.4-309-98</f>
        <v>208.39999999999998</v>
      </c>
      <c r="G746" s="14">
        <f>615.4-615.4</f>
        <v>0</v>
      </c>
      <c r="H746" s="14">
        <f>615.4-615.4</f>
        <v>0</v>
      </c>
    </row>
    <row r="747" spans="1:8">
      <c r="A747" s="127" t="s">
        <v>289</v>
      </c>
      <c r="B747" s="30"/>
      <c r="C747" s="30"/>
      <c r="D747" s="30"/>
      <c r="E747" s="21" t="s">
        <v>279</v>
      </c>
      <c r="F747" s="17">
        <f t="shared" ref="F747:H752" si="222">F748</f>
        <v>727.3</v>
      </c>
      <c r="G747" s="17">
        <f t="shared" si="222"/>
        <v>0</v>
      </c>
      <c r="H747" s="17">
        <f t="shared" si="222"/>
        <v>0</v>
      </c>
    </row>
    <row r="748" spans="1:8">
      <c r="A748" s="58" t="s">
        <v>289</v>
      </c>
      <c r="B748" s="177" t="s">
        <v>54</v>
      </c>
      <c r="C748" s="177" t="s">
        <v>66</v>
      </c>
      <c r="D748" s="177" t="s">
        <v>66</v>
      </c>
      <c r="E748" s="25" t="s">
        <v>20</v>
      </c>
      <c r="F748" s="14">
        <f t="shared" si="222"/>
        <v>727.3</v>
      </c>
      <c r="G748" s="14">
        <f t="shared" si="222"/>
        <v>0</v>
      </c>
      <c r="H748" s="14">
        <f t="shared" si="222"/>
        <v>0</v>
      </c>
    </row>
    <row r="749" spans="1:8" ht="47.25">
      <c r="A749" s="58" t="s">
        <v>289</v>
      </c>
      <c r="B749" s="177" t="s">
        <v>46</v>
      </c>
      <c r="C749" s="177" t="s">
        <v>66</v>
      </c>
      <c r="D749" s="177" t="s">
        <v>66</v>
      </c>
      <c r="E749" s="178" t="s">
        <v>7</v>
      </c>
      <c r="F749" s="14">
        <f t="shared" si="222"/>
        <v>727.3</v>
      </c>
      <c r="G749" s="14">
        <f t="shared" si="222"/>
        <v>0</v>
      </c>
      <c r="H749" s="14">
        <f t="shared" si="222"/>
        <v>0</v>
      </c>
    </row>
    <row r="750" spans="1:8">
      <c r="A750" s="58" t="s">
        <v>289</v>
      </c>
      <c r="B750" s="177" t="s">
        <v>46</v>
      </c>
      <c r="C750" s="177">
        <v>9900000000</v>
      </c>
      <c r="D750" s="177"/>
      <c r="E750" s="178" t="s">
        <v>105</v>
      </c>
      <c r="F750" s="14">
        <f t="shared" si="222"/>
        <v>727.3</v>
      </c>
      <c r="G750" s="14">
        <f t="shared" si="222"/>
        <v>0</v>
      </c>
      <c r="H750" s="14">
        <f t="shared" si="222"/>
        <v>0</v>
      </c>
    </row>
    <row r="751" spans="1:8" ht="31.5">
      <c r="A751" s="58" t="s">
        <v>289</v>
      </c>
      <c r="B751" s="177" t="s">
        <v>46</v>
      </c>
      <c r="C751" s="177">
        <v>9990000000</v>
      </c>
      <c r="D751" s="177"/>
      <c r="E751" s="178" t="s">
        <v>145</v>
      </c>
      <c r="F751" s="14">
        <f t="shared" si="222"/>
        <v>727.3</v>
      </c>
      <c r="G751" s="14">
        <f t="shared" si="222"/>
        <v>0</v>
      </c>
      <c r="H751" s="14">
        <f t="shared" si="222"/>
        <v>0</v>
      </c>
    </row>
    <row r="752" spans="1:8" ht="31.5">
      <c r="A752" s="58" t="s">
        <v>289</v>
      </c>
      <c r="B752" s="177" t="s">
        <v>46</v>
      </c>
      <c r="C752" s="177">
        <v>9990400000</v>
      </c>
      <c r="D752" s="177"/>
      <c r="E752" s="52" t="s">
        <v>280</v>
      </c>
      <c r="F752" s="14">
        <f>F753</f>
        <v>727.3</v>
      </c>
      <c r="G752" s="14">
        <f t="shared" si="222"/>
        <v>0</v>
      </c>
      <c r="H752" s="14">
        <f t="shared" si="222"/>
        <v>0</v>
      </c>
    </row>
    <row r="753" spans="1:8" ht="31.5">
      <c r="A753" s="58" t="s">
        <v>289</v>
      </c>
      <c r="B753" s="177" t="s">
        <v>46</v>
      </c>
      <c r="C753" s="177">
        <v>9990426000</v>
      </c>
      <c r="D753" s="177"/>
      <c r="E753" s="33" t="s">
        <v>304</v>
      </c>
      <c r="F753" s="14">
        <f>F754</f>
        <v>727.3</v>
      </c>
      <c r="G753" s="14">
        <f t="shared" ref="G753:H754" si="223">G754</f>
        <v>0</v>
      </c>
      <c r="H753" s="14">
        <f t="shared" si="223"/>
        <v>0</v>
      </c>
    </row>
    <row r="754" spans="1:8" ht="63">
      <c r="A754" s="58" t="s">
        <v>289</v>
      </c>
      <c r="B754" s="177" t="s">
        <v>46</v>
      </c>
      <c r="C754" s="177">
        <v>9990426000</v>
      </c>
      <c r="D754" s="177" t="s">
        <v>68</v>
      </c>
      <c r="E754" s="178" t="s">
        <v>1</v>
      </c>
      <c r="F754" s="14">
        <f>F755</f>
        <v>727.3</v>
      </c>
      <c r="G754" s="14">
        <f t="shared" si="223"/>
        <v>0</v>
      </c>
      <c r="H754" s="14">
        <f t="shared" si="223"/>
        <v>0</v>
      </c>
    </row>
    <row r="755" spans="1:8" ht="31.5">
      <c r="A755" s="58" t="s">
        <v>289</v>
      </c>
      <c r="B755" s="177" t="s">
        <v>46</v>
      </c>
      <c r="C755" s="177">
        <v>9990426000</v>
      </c>
      <c r="D755" s="177">
        <v>120</v>
      </c>
      <c r="E755" s="178" t="s">
        <v>217</v>
      </c>
      <c r="F755" s="14">
        <f>1159.6-182.4-249.9</f>
        <v>727.3</v>
      </c>
      <c r="G755" s="14">
        <f>1159.6-1159.6</f>
        <v>0</v>
      </c>
      <c r="H755" s="14">
        <f>1159.6-1159.6</f>
        <v>0</v>
      </c>
    </row>
    <row r="756" spans="1:8" ht="20.25" customHeight="1">
      <c r="A756" s="127" t="s">
        <v>477</v>
      </c>
      <c r="B756" s="30" t="s">
        <v>66</v>
      </c>
      <c r="C756" s="30" t="s">
        <v>66</v>
      </c>
      <c r="D756" s="30" t="s">
        <v>66</v>
      </c>
      <c r="E756" s="24" t="s">
        <v>478</v>
      </c>
      <c r="F756" s="17">
        <f t="shared" ref="F756:F760" si="224">F757</f>
        <v>1199.2</v>
      </c>
      <c r="G756" s="17">
        <f t="shared" ref="G756:H760" si="225">G757</f>
        <v>2522.9</v>
      </c>
      <c r="H756" s="17">
        <f t="shared" si="225"/>
        <v>2522.9</v>
      </c>
    </row>
    <row r="757" spans="1:8">
      <c r="A757" s="58" t="s">
        <v>477</v>
      </c>
      <c r="B757" s="177" t="s">
        <v>54</v>
      </c>
      <c r="C757" s="177" t="s">
        <v>66</v>
      </c>
      <c r="D757" s="177" t="s">
        <v>66</v>
      </c>
      <c r="E757" s="25" t="s">
        <v>20</v>
      </c>
      <c r="F757" s="14">
        <f t="shared" si="224"/>
        <v>1199.2</v>
      </c>
      <c r="G757" s="14">
        <f t="shared" si="225"/>
        <v>2522.9</v>
      </c>
      <c r="H757" s="14">
        <f t="shared" si="225"/>
        <v>2522.9</v>
      </c>
    </row>
    <row r="758" spans="1:8" ht="47.25">
      <c r="A758" s="58" t="s">
        <v>477</v>
      </c>
      <c r="B758" s="177" t="s">
        <v>44</v>
      </c>
      <c r="C758" s="177" t="s">
        <v>66</v>
      </c>
      <c r="D758" s="177" t="s">
        <v>66</v>
      </c>
      <c r="E758" s="178" t="s">
        <v>21</v>
      </c>
      <c r="F758" s="14">
        <f t="shared" si="224"/>
        <v>1199.2</v>
      </c>
      <c r="G758" s="14">
        <f t="shared" si="225"/>
        <v>2522.9</v>
      </c>
      <c r="H758" s="14">
        <f t="shared" si="225"/>
        <v>2522.9</v>
      </c>
    </row>
    <row r="759" spans="1:8">
      <c r="A759" s="58" t="s">
        <v>477</v>
      </c>
      <c r="B759" s="177" t="s">
        <v>44</v>
      </c>
      <c r="C759" s="177" t="s">
        <v>110</v>
      </c>
      <c r="D759" s="177" t="s">
        <v>66</v>
      </c>
      <c r="E759" s="178" t="s">
        <v>105</v>
      </c>
      <c r="F759" s="14">
        <f t="shared" si="224"/>
        <v>1199.2</v>
      </c>
      <c r="G759" s="14">
        <f t="shared" si="225"/>
        <v>2522.9</v>
      </c>
      <c r="H759" s="14">
        <f t="shared" si="225"/>
        <v>2522.9</v>
      </c>
    </row>
    <row r="760" spans="1:8" ht="31.5">
      <c r="A760" s="58" t="s">
        <v>477</v>
      </c>
      <c r="B760" s="177" t="s">
        <v>44</v>
      </c>
      <c r="C760" s="177">
        <v>9990000000</v>
      </c>
      <c r="D760" s="177"/>
      <c r="E760" s="178" t="s">
        <v>145</v>
      </c>
      <c r="F760" s="14">
        <f t="shared" si="224"/>
        <v>1199.2</v>
      </c>
      <c r="G760" s="14">
        <f t="shared" si="225"/>
        <v>2522.9</v>
      </c>
      <c r="H760" s="14">
        <f t="shared" si="225"/>
        <v>2522.9</v>
      </c>
    </row>
    <row r="761" spans="1:8" ht="31.5">
      <c r="A761" s="58" t="s">
        <v>477</v>
      </c>
      <c r="B761" s="177" t="s">
        <v>44</v>
      </c>
      <c r="C761" s="177">
        <v>9990100000</v>
      </c>
      <c r="D761" s="177"/>
      <c r="E761" s="178" t="s">
        <v>161</v>
      </c>
      <c r="F761" s="14">
        <f>F762+F767</f>
        <v>1199.2</v>
      </c>
      <c r="G761" s="14">
        <f t="shared" ref="G761:H761" si="226">G762+G767</f>
        <v>2522.9</v>
      </c>
      <c r="H761" s="14">
        <f t="shared" si="226"/>
        <v>2522.9</v>
      </c>
    </row>
    <row r="762" spans="1:8" ht="31.5">
      <c r="A762" s="58" t="s">
        <v>477</v>
      </c>
      <c r="B762" s="177" t="s">
        <v>44</v>
      </c>
      <c r="C762" s="177">
        <v>9990124000</v>
      </c>
      <c r="D762" s="177"/>
      <c r="E762" s="178" t="s">
        <v>479</v>
      </c>
      <c r="F762" s="14">
        <f>F763+F765</f>
        <v>1184.2</v>
      </c>
      <c r="G762" s="14">
        <f t="shared" ref="G762:H762" si="227">G763+G765</f>
        <v>2522.9</v>
      </c>
      <c r="H762" s="14">
        <f t="shared" si="227"/>
        <v>2522.9</v>
      </c>
    </row>
    <row r="763" spans="1:8" ht="63">
      <c r="A763" s="58" t="s">
        <v>477</v>
      </c>
      <c r="B763" s="177" t="s">
        <v>44</v>
      </c>
      <c r="C763" s="177">
        <v>9990124000</v>
      </c>
      <c r="D763" s="177" t="s">
        <v>68</v>
      </c>
      <c r="E763" s="178" t="s">
        <v>1</v>
      </c>
      <c r="F763" s="14">
        <f>F764</f>
        <v>609.40000000000009</v>
      </c>
      <c r="G763" s="14">
        <f t="shared" ref="G763:H763" si="228">G764</f>
        <v>1907.5</v>
      </c>
      <c r="H763" s="14">
        <f t="shared" si="228"/>
        <v>1907.5</v>
      </c>
    </row>
    <row r="764" spans="1:8" ht="31.5">
      <c r="A764" s="58" t="s">
        <v>477</v>
      </c>
      <c r="B764" s="177" t="s">
        <v>44</v>
      </c>
      <c r="C764" s="177">
        <v>9990124000</v>
      </c>
      <c r="D764" s="177">
        <v>120</v>
      </c>
      <c r="E764" s="178" t="s">
        <v>217</v>
      </c>
      <c r="F764" s="14">
        <f>450.3+4.8+154.3</f>
        <v>609.40000000000009</v>
      </c>
      <c r="G764" s="14">
        <v>1907.5</v>
      </c>
      <c r="H764" s="14">
        <v>1907.5</v>
      </c>
    </row>
    <row r="765" spans="1:8" ht="31.5">
      <c r="A765" s="58" t="s">
        <v>477</v>
      </c>
      <c r="B765" s="177" t="s">
        <v>44</v>
      </c>
      <c r="C765" s="177">
        <v>9990124000</v>
      </c>
      <c r="D765" s="177" t="s">
        <v>69</v>
      </c>
      <c r="E765" s="178" t="s">
        <v>95</v>
      </c>
      <c r="F765" s="14">
        <f>F766</f>
        <v>574.79999999999995</v>
      </c>
      <c r="G765" s="14">
        <f t="shared" ref="G765:H765" si="229">G766</f>
        <v>615.4</v>
      </c>
      <c r="H765" s="14">
        <f t="shared" si="229"/>
        <v>615.4</v>
      </c>
    </row>
    <row r="766" spans="1:8" ht="31.5">
      <c r="A766" s="58" t="s">
        <v>477</v>
      </c>
      <c r="B766" s="177" t="s">
        <v>44</v>
      </c>
      <c r="C766" s="177">
        <v>9990124000</v>
      </c>
      <c r="D766" s="177">
        <v>240</v>
      </c>
      <c r="E766" s="178" t="s">
        <v>216</v>
      </c>
      <c r="F766" s="14">
        <f>309-4.8+172.6+98</f>
        <v>574.79999999999995</v>
      </c>
      <c r="G766" s="14">
        <v>615.4</v>
      </c>
      <c r="H766" s="14">
        <v>615.4</v>
      </c>
    </row>
    <row r="767" spans="1:8" ht="47.25">
      <c r="A767" s="58" t="s">
        <v>477</v>
      </c>
      <c r="B767" s="177" t="s">
        <v>44</v>
      </c>
      <c r="C767" s="92">
        <v>9990155492</v>
      </c>
      <c r="D767" s="177"/>
      <c r="E767" s="178" t="s">
        <v>804</v>
      </c>
      <c r="F767" s="14">
        <f>F768</f>
        <v>15</v>
      </c>
      <c r="G767" s="14">
        <f t="shared" ref="G767:H768" si="230">G768</f>
        <v>0</v>
      </c>
      <c r="H767" s="14">
        <f t="shared" si="230"/>
        <v>0</v>
      </c>
    </row>
    <row r="768" spans="1:8" ht="63">
      <c r="A768" s="58" t="s">
        <v>477</v>
      </c>
      <c r="B768" s="177" t="s">
        <v>44</v>
      </c>
      <c r="C768" s="92">
        <v>9990155492</v>
      </c>
      <c r="D768" s="177" t="s">
        <v>68</v>
      </c>
      <c r="E768" s="178" t="s">
        <v>1</v>
      </c>
      <c r="F768" s="14">
        <f>F769</f>
        <v>15</v>
      </c>
      <c r="G768" s="14">
        <f t="shared" si="230"/>
        <v>0</v>
      </c>
      <c r="H768" s="14">
        <f t="shared" si="230"/>
        <v>0</v>
      </c>
    </row>
    <row r="769" spans="1:8" ht="31.5">
      <c r="A769" s="58" t="s">
        <v>477</v>
      </c>
      <c r="B769" s="177" t="s">
        <v>44</v>
      </c>
      <c r="C769" s="92">
        <v>9990155492</v>
      </c>
      <c r="D769" s="177">
        <v>120</v>
      </c>
      <c r="E769" s="178" t="s">
        <v>217</v>
      </c>
      <c r="F769" s="14">
        <v>15</v>
      </c>
      <c r="G769" s="14">
        <v>0</v>
      </c>
      <c r="H769" s="14">
        <v>0</v>
      </c>
    </row>
    <row r="770" spans="1:8" ht="31.5">
      <c r="A770" s="127" t="s">
        <v>794</v>
      </c>
      <c r="B770" s="30"/>
      <c r="C770" s="30"/>
      <c r="D770" s="30"/>
      <c r="E770" s="21" t="s">
        <v>795</v>
      </c>
      <c r="F770" s="17">
        <f t="shared" ref="F770:H777" si="231">F771</f>
        <v>2141.4</v>
      </c>
      <c r="G770" s="17">
        <f t="shared" si="231"/>
        <v>2853.7</v>
      </c>
      <c r="H770" s="17">
        <f t="shared" si="231"/>
        <v>2853.7</v>
      </c>
    </row>
    <row r="771" spans="1:8">
      <c r="A771" s="58" t="s">
        <v>794</v>
      </c>
      <c r="B771" s="177" t="s">
        <v>54</v>
      </c>
      <c r="C771" s="177" t="s">
        <v>66</v>
      </c>
      <c r="D771" s="177" t="s">
        <v>66</v>
      </c>
      <c r="E771" s="25" t="s">
        <v>20</v>
      </c>
      <c r="F771" s="14">
        <f t="shared" si="231"/>
        <v>2141.4</v>
      </c>
      <c r="G771" s="14">
        <f t="shared" si="231"/>
        <v>2853.7</v>
      </c>
      <c r="H771" s="14">
        <f t="shared" si="231"/>
        <v>2853.7</v>
      </c>
    </row>
    <row r="772" spans="1:8" ht="40.5" customHeight="1">
      <c r="A772" s="58" t="s">
        <v>794</v>
      </c>
      <c r="B772" s="177" t="s">
        <v>46</v>
      </c>
      <c r="C772" s="177" t="s">
        <v>66</v>
      </c>
      <c r="D772" s="177" t="s">
        <v>66</v>
      </c>
      <c r="E772" s="178" t="s">
        <v>7</v>
      </c>
      <c r="F772" s="14">
        <f t="shared" si="231"/>
        <v>2141.4</v>
      </c>
      <c r="G772" s="14">
        <f t="shared" si="231"/>
        <v>2853.7</v>
      </c>
      <c r="H772" s="14">
        <f t="shared" si="231"/>
        <v>2853.7</v>
      </c>
    </row>
    <row r="773" spans="1:8">
      <c r="A773" s="58" t="s">
        <v>794</v>
      </c>
      <c r="B773" s="177" t="s">
        <v>46</v>
      </c>
      <c r="C773" s="177">
        <v>9900000000</v>
      </c>
      <c r="D773" s="177"/>
      <c r="E773" s="178" t="s">
        <v>105</v>
      </c>
      <c r="F773" s="14">
        <f t="shared" si="231"/>
        <v>2141.4</v>
      </c>
      <c r="G773" s="14">
        <f t="shared" si="231"/>
        <v>2853.7</v>
      </c>
      <c r="H773" s="14">
        <f t="shared" si="231"/>
        <v>2853.7</v>
      </c>
    </row>
    <row r="774" spans="1:8" ht="31.5">
      <c r="A774" s="58" t="s">
        <v>794</v>
      </c>
      <c r="B774" s="177" t="s">
        <v>46</v>
      </c>
      <c r="C774" s="177">
        <v>9990000000</v>
      </c>
      <c r="D774" s="177"/>
      <c r="E774" s="178" t="s">
        <v>145</v>
      </c>
      <c r="F774" s="14">
        <f t="shared" si="231"/>
        <v>2141.4</v>
      </c>
      <c r="G774" s="14">
        <f t="shared" si="231"/>
        <v>2853.7</v>
      </c>
      <c r="H774" s="14">
        <f t="shared" si="231"/>
        <v>2853.7</v>
      </c>
    </row>
    <row r="775" spans="1:8" ht="31.5">
      <c r="A775" s="58" t="s">
        <v>794</v>
      </c>
      <c r="B775" s="177" t="s">
        <v>46</v>
      </c>
      <c r="C775" s="177">
        <v>9990400000</v>
      </c>
      <c r="D775" s="177"/>
      <c r="E775" s="52" t="s">
        <v>280</v>
      </c>
      <c r="F775" s="14">
        <f>F776+F779+F782</f>
        <v>2141.4</v>
      </c>
      <c r="G775" s="14">
        <f t="shared" ref="G775:H775" si="232">G776+G779+G782</f>
        <v>2853.7</v>
      </c>
      <c r="H775" s="14">
        <f t="shared" si="232"/>
        <v>2853.7</v>
      </c>
    </row>
    <row r="776" spans="1:8" ht="31.5">
      <c r="A776" s="58" t="s">
        <v>794</v>
      </c>
      <c r="B776" s="177" t="s">
        <v>46</v>
      </c>
      <c r="C776" s="177">
        <v>9990427000</v>
      </c>
      <c r="D776" s="177"/>
      <c r="E776" s="52" t="s">
        <v>796</v>
      </c>
      <c r="F776" s="14">
        <f>F777</f>
        <v>1694.1</v>
      </c>
      <c r="G776" s="14">
        <f t="shared" ref="G776:H776" si="233">G777</f>
        <v>1694.1</v>
      </c>
      <c r="H776" s="14">
        <f t="shared" si="233"/>
        <v>1694.1</v>
      </c>
    </row>
    <row r="777" spans="1:8" ht="63">
      <c r="A777" s="58" t="s">
        <v>794</v>
      </c>
      <c r="B777" s="177" t="s">
        <v>46</v>
      </c>
      <c r="C777" s="177">
        <v>9990427000</v>
      </c>
      <c r="D777" s="177" t="s">
        <v>68</v>
      </c>
      <c r="E777" s="178" t="s">
        <v>1</v>
      </c>
      <c r="F777" s="14">
        <f>F778</f>
        <v>1694.1</v>
      </c>
      <c r="G777" s="14">
        <f t="shared" si="231"/>
        <v>1694.1</v>
      </c>
      <c r="H777" s="14">
        <f t="shared" si="231"/>
        <v>1694.1</v>
      </c>
    </row>
    <row r="778" spans="1:8" ht="31.5">
      <c r="A778" s="58" t="s">
        <v>794</v>
      </c>
      <c r="B778" s="177" t="s">
        <v>46</v>
      </c>
      <c r="C778" s="177">
        <v>9990427000</v>
      </c>
      <c r="D778" s="177">
        <v>120</v>
      </c>
      <c r="E778" s="178" t="s">
        <v>217</v>
      </c>
      <c r="F778" s="14">
        <f>269.6+1424.5</f>
        <v>1694.1</v>
      </c>
      <c r="G778" s="14">
        <v>1694.1</v>
      </c>
      <c r="H778" s="14">
        <v>1694.1</v>
      </c>
    </row>
    <row r="779" spans="1:8" ht="31.5">
      <c r="A779" s="58" t="s">
        <v>794</v>
      </c>
      <c r="B779" s="177" t="s">
        <v>46</v>
      </c>
      <c r="C779" s="177">
        <v>9990428000</v>
      </c>
      <c r="D779" s="177"/>
      <c r="E779" s="33" t="s">
        <v>797</v>
      </c>
      <c r="F779" s="14">
        <f>F780</f>
        <v>432.3</v>
      </c>
      <c r="G779" s="14">
        <f t="shared" ref="G779:H780" si="234">G780</f>
        <v>1159.5999999999999</v>
      </c>
      <c r="H779" s="14">
        <f t="shared" si="234"/>
        <v>1159.5999999999999</v>
      </c>
    </row>
    <row r="780" spans="1:8" ht="63">
      <c r="A780" s="58" t="s">
        <v>794</v>
      </c>
      <c r="B780" s="177" t="s">
        <v>46</v>
      </c>
      <c r="C780" s="177">
        <v>9990428000</v>
      </c>
      <c r="D780" s="177" t="s">
        <v>68</v>
      </c>
      <c r="E780" s="178" t="s">
        <v>1</v>
      </c>
      <c r="F780" s="14">
        <f>F781</f>
        <v>432.3</v>
      </c>
      <c r="G780" s="14">
        <f t="shared" si="234"/>
        <v>1159.5999999999999</v>
      </c>
      <c r="H780" s="14">
        <f t="shared" si="234"/>
        <v>1159.5999999999999</v>
      </c>
    </row>
    <row r="781" spans="1:8" ht="31.5">
      <c r="A781" s="58" t="s">
        <v>794</v>
      </c>
      <c r="B781" s="177" t="s">
        <v>46</v>
      </c>
      <c r="C781" s="177">
        <v>9990428000</v>
      </c>
      <c r="D781" s="177">
        <v>120</v>
      </c>
      <c r="E781" s="178" t="s">
        <v>217</v>
      </c>
      <c r="F781" s="14">
        <f>182.4+249.9</f>
        <v>432.3</v>
      </c>
      <c r="G781" s="14">
        <v>1159.5999999999999</v>
      </c>
      <c r="H781" s="14">
        <v>1159.5999999999999</v>
      </c>
    </row>
    <row r="782" spans="1:8" ht="47.25">
      <c r="A782" s="58" t="s">
        <v>794</v>
      </c>
      <c r="B782" s="177" t="s">
        <v>46</v>
      </c>
      <c r="C782" s="177">
        <v>9990455492</v>
      </c>
      <c r="D782" s="177"/>
      <c r="E782" s="178" t="s">
        <v>804</v>
      </c>
      <c r="F782" s="14">
        <f>F783</f>
        <v>15</v>
      </c>
      <c r="G782" s="14">
        <f t="shared" ref="G782:H783" si="235">G783</f>
        <v>0</v>
      </c>
      <c r="H782" s="14">
        <f t="shared" si="235"/>
        <v>0</v>
      </c>
    </row>
    <row r="783" spans="1:8" ht="63">
      <c r="A783" s="58" t="s">
        <v>794</v>
      </c>
      <c r="B783" s="177" t="s">
        <v>46</v>
      </c>
      <c r="C783" s="177">
        <v>9990455492</v>
      </c>
      <c r="D783" s="177" t="s">
        <v>68</v>
      </c>
      <c r="E783" s="178" t="s">
        <v>1</v>
      </c>
      <c r="F783" s="14">
        <f>F784</f>
        <v>15</v>
      </c>
      <c r="G783" s="14">
        <f t="shared" si="235"/>
        <v>0</v>
      </c>
      <c r="H783" s="14">
        <f t="shared" si="235"/>
        <v>0</v>
      </c>
    </row>
    <row r="784" spans="1:8" ht="31.5">
      <c r="A784" s="58" t="s">
        <v>794</v>
      </c>
      <c r="B784" s="177" t="s">
        <v>46</v>
      </c>
      <c r="C784" s="177">
        <v>9990455492</v>
      </c>
      <c r="D784" s="177">
        <v>120</v>
      </c>
      <c r="E784" s="178" t="s">
        <v>217</v>
      </c>
      <c r="F784" s="14">
        <v>15</v>
      </c>
      <c r="G784" s="14">
        <v>0</v>
      </c>
      <c r="H784" s="14">
        <v>0</v>
      </c>
    </row>
    <row r="785" spans="1:8">
      <c r="A785" s="19" t="s">
        <v>9</v>
      </c>
      <c r="B785" s="30" t="s">
        <v>66</v>
      </c>
      <c r="C785" s="30" t="s">
        <v>66</v>
      </c>
      <c r="D785" s="30" t="s">
        <v>66</v>
      </c>
      <c r="E785" s="55" t="s">
        <v>248</v>
      </c>
      <c r="F785" s="17">
        <f>F786+F982+F992</f>
        <v>928317.79999999981</v>
      </c>
      <c r="G785" s="17">
        <f>G786+G982+G992</f>
        <v>910517.19999999984</v>
      </c>
      <c r="H785" s="17">
        <f>H786+H982+H992</f>
        <v>915149</v>
      </c>
    </row>
    <row r="786" spans="1:8">
      <c r="A786" s="177" t="s">
        <v>9</v>
      </c>
      <c r="B786" s="177" t="s">
        <v>37</v>
      </c>
      <c r="C786" s="177" t="s">
        <v>66</v>
      </c>
      <c r="D786" s="177" t="s">
        <v>66</v>
      </c>
      <c r="E786" s="178" t="s">
        <v>29</v>
      </c>
      <c r="F786" s="14">
        <f>F787+F833+F919+F953</f>
        <v>911606.09999999986</v>
      </c>
      <c r="G786" s="14">
        <f>G787+G833+G919+G953</f>
        <v>893767.89999999991</v>
      </c>
      <c r="H786" s="14">
        <f>H787+H833+H919+H953</f>
        <v>898360.10000000009</v>
      </c>
    </row>
    <row r="787" spans="1:8">
      <c r="A787" s="177" t="s">
        <v>9</v>
      </c>
      <c r="B787" s="177" t="s">
        <v>50</v>
      </c>
      <c r="C787" s="177" t="s">
        <v>66</v>
      </c>
      <c r="D787" s="177" t="s">
        <v>66</v>
      </c>
      <c r="E787" s="178" t="s">
        <v>10</v>
      </c>
      <c r="F787" s="14">
        <f>F788+F815</f>
        <v>367969.3</v>
      </c>
      <c r="G787" s="14">
        <f>G788+G815</f>
        <v>358591.1</v>
      </c>
      <c r="H787" s="14">
        <f>H788+H815</f>
        <v>361303.70000000007</v>
      </c>
    </row>
    <row r="788" spans="1:8" ht="47.25">
      <c r="A788" s="177" t="s">
        <v>9</v>
      </c>
      <c r="B788" s="177" t="s">
        <v>50</v>
      </c>
      <c r="C788" s="177">
        <v>3100000000</v>
      </c>
      <c r="D788" s="177"/>
      <c r="E788" s="178" t="s">
        <v>328</v>
      </c>
      <c r="F788" s="14">
        <f>F789</f>
        <v>364056.39999999997</v>
      </c>
      <c r="G788" s="14">
        <f>G789</f>
        <v>356287.19999999995</v>
      </c>
      <c r="H788" s="14">
        <f>H789</f>
        <v>358999.80000000005</v>
      </c>
    </row>
    <row r="789" spans="1:8">
      <c r="A789" s="177" t="s">
        <v>9</v>
      </c>
      <c r="B789" s="177" t="s">
        <v>50</v>
      </c>
      <c r="C789" s="177">
        <v>3110000000</v>
      </c>
      <c r="D789" s="177"/>
      <c r="E789" s="178" t="s">
        <v>163</v>
      </c>
      <c r="F789" s="14">
        <f>F790+F804+F811+F800</f>
        <v>364056.39999999997</v>
      </c>
      <c r="G789" s="14">
        <f t="shared" ref="G789:H789" si="236">G790+G804+G811+G800</f>
        <v>356287.19999999995</v>
      </c>
      <c r="H789" s="14">
        <f t="shared" si="236"/>
        <v>358999.80000000005</v>
      </c>
    </row>
    <row r="790" spans="1:8" ht="47.25">
      <c r="A790" s="177" t="s">
        <v>9</v>
      </c>
      <c r="B790" s="177" t="s">
        <v>50</v>
      </c>
      <c r="C790" s="177">
        <v>3110100000</v>
      </c>
      <c r="D790" s="30"/>
      <c r="E790" s="178" t="s">
        <v>164</v>
      </c>
      <c r="F790" s="14">
        <f>F794+F791+F797</f>
        <v>357049.3</v>
      </c>
      <c r="G790" s="14">
        <f t="shared" ref="G790:H790" si="237">G794+G791+G797</f>
        <v>356287.19999999995</v>
      </c>
      <c r="H790" s="14">
        <f t="shared" si="237"/>
        <v>358999.80000000005</v>
      </c>
    </row>
    <row r="791" spans="1:8" ht="63">
      <c r="A791" s="1" t="s">
        <v>9</v>
      </c>
      <c r="B791" s="1" t="s">
        <v>50</v>
      </c>
      <c r="C791" s="7" t="s">
        <v>356</v>
      </c>
      <c r="D791" s="8"/>
      <c r="E791" s="22" t="s">
        <v>103</v>
      </c>
      <c r="F791" s="14">
        <f t="shared" ref="F791:H792" si="238">F792</f>
        <v>213384.5</v>
      </c>
      <c r="G791" s="14">
        <f t="shared" si="238"/>
        <v>213751.4</v>
      </c>
      <c r="H791" s="14">
        <f t="shared" si="238"/>
        <v>214533.7</v>
      </c>
    </row>
    <row r="792" spans="1:8" ht="31.5">
      <c r="A792" s="1" t="s">
        <v>9</v>
      </c>
      <c r="B792" s="1" t="s">
        <v>50</v>
      </c>
      <c r="C792" s="7" t="s">
        <v>356</v>
      </c>
      <c r="D792" s="177" t="s">
        <v>97</v>
      </c>
      <c r="E792" s="178" t="s">
        <v>98</v>
      </c>
      <c r="F792" s="14">
        <f t="shared" si="238"/>
        <v>213384.5</v>
      </c>
      <c r="G792" s="14">
        <f t="shared" si="238"/>
        <v>213751.4</v>
      </c>
      <c r="H792" s="14">
        <f t="shared" si="238"/>
        <v>214533.7</v>
      </c>
    </row>
    <row r="793" spans="1:8">
      <c r="A793" s="177" t="s">
        <v>9</v>
      </c>
      <c r="B793" s="1" t="s">
        <v>50</v>
      </c>
      <c r="C793" s="7" t="s">
        <v>356</v>
      </c>
      <c r="D793" s="177">
        <v>610</v>
      </c>
      <c r="E793" s="178" t="s">
        <v>104</v>
      </c>
      <c r="F793" s="14">
        <f>213079.8+304.7</f>
        <v>213384.5</v>
      </c>
      <c r="G793" s="14">
        <v>213751.4</v>
      </c>
      <c r="H793" s="14">
        <v>214533.7</v>
      </c>
    </row>
    <row r="794" spans="1:8" ht="31.5">
      <c r="A794" s="1" t="s">
        <v>9</v>
      </c>
      <c r="B794" s="1" t="s">
        <v>50</v>
      </c>
      <c r="C794" s="7" t="s">
        <v>357</v>
      </c>
      <c r="D794" s="7"/>
      <c r="E794" s="22" t="s">
        <v>123</v>
      </c>
      <c r="F794" s="14">
        <f t="shared" ref="F794:H795" si="239">F795</f>
        <v>141787.1</v>
      </c>
      <c r="G794" s="14">
        <f t="shared" si="239"/>
        <v>142535.79999999999</v>
      </c>
      <c r="H794" s="14">
        <f t="shared" si="239"/>
        <v>144466.1</v>
      </c>
    </row>
    <row r="795" spans="1:8" ht="31.5">
      <c r="A795" s="1" t="s">
        <v>9</v>
      </c>
      <c r="B795" s="1" t="s">
        <v>50</v>
      </c>
      <c r="C795" s="7" t="s">
        <v>357</v>
      </c>
      <c r="D795" s="177" t="s">
        <v>97</v>
      </c>
      <c r="E795" s="178" t="s">
        <v>98</v>
      </c>
      <c r="F795" s="14">
        <f t="shared" si="239"/>
        <v>141787.1</v>
      </c>
      <c r="G795" s="14">
        <f t="shared" si="239"/>
        <v>142535.79999999999</v>
      </c>
      <c r="H795" s="14">
        <f t="shared" si="239"/>
        <v>144466.1</v>
      </c>
    </row>
    <row r="796" spans="1:8">
      <c r="A796" s="177" t="s">
        <v>9</v>
      </c>
      <c r="B796" s="1" t="s">
        <v>50</v>
      </c>
      <c r="C796" s="7" t="s">
        <v>357</v>
      </c>
      <c r="D796" s="177">
        <v>610</v>
      </c>
      <c r="E796" s="178" t="s">
        <v>104</v>
      </c>
      <c r="F796" s="14">
        <f>140705.9-18.8+1100</f>
        <v>141787.1</v>
      </c>
      <c r="G796" s="14">
        <v>142535.79999999999</v>
      </c>
      <c r="H796" s="14">
        <v>144466.1</v>
      </c>
    </row>
    <row r="797" spans="1:8" ht="31.5">
      <c r="A797" s="177" t="s">
        <v>9</v>
      </c>
      <c r="B797" s="1" t="s">
        <v>50</v>
      </c>
      <c r="C797" s="7" t="s">
        <v>803</v>
      </c>
      <c r="D797" s="177"/>
      <c r="E797" s="33" t="s">
        <v>801</v>
      </c>
      <c r="F797" s="14">
        <f>F798</f>
        <v>1877.7</v>
      </c>
      <c r="G797" s="14">
        <f t="shared" ref="G797:G798" si="240">G798</f>
        <v>0</v>
      </c>
      <c r="H797" s="14">
        <f t="shared" ref="H797:H798" si="241">H798</f>
        <v>0</v>
      </c>
    </row>
    <row r="798" spans="1:8" ht="31.5">
      <c r="A798" s="1" t="s">
        <v>9</v>
      </c>
      <c r="B798" s="1" t="s">
        <v>50</v>
      </c>
      <c r="C798" s="7" t="s">
        <v>803</v>
      </c>
      <c r="D798" s="177" t="s">
        <v>97</v>
      </c>
      <c r="E798" s="178" t="s">
        <v>98</v>
      </c>
      <c r="F798" s="14">
        <f>F799</f>
        <v>1877.7</v>
      </c>
      <c r="G798" s="14">
        <f t="shared" si="240"/>
        <v>0</v>
      </c>
      <c r="H798" s="14">
        <f t="shared" si="241"/>
        <v>0</v>
      </c>
    </row>
    <row r="799" spans="1:8">
      <c r="A799" s="1" t="s">
        <v>9</v>
      </c>
      <c r="B799" s="1" t="s">
        <v>50</v>
      </c>
      <c r="C799" s="7" t="s">
        <v>803</v>
      </c>
      <c r="D799" s="177">
        <v>610</v>
      </c>
      <c r="E799" s="178" t="s">
        <v>104</v>
      </c>
      <c r="F799" s="14">
        <f>1858.9+18.8</f>
        <v>1877.7</v>
      </c>
      <c r="G799" s="14">
        <v>0</v>
      </c>
      <c r="H799" s="14">
        <v>0</v>
      </c>
    </row>
    <row r="800" spans="1:8" ht="78.75">
      <c r="A800" s="177" t="s">
        <v>9</v>
      </c>
      <c r="B800" s="58" t="s">
        <v>50</v>
      </c>
      <c r="C800" s="177">
        <v>3110500000</v>
      </c>
      <c r="D800" s="177"/>
      <c r="E800" s="178" t="s">
        <v>229</v>
      </c>
      <c r="F800" s="14">
        <f>F801</f>
        <v>286.60000000000002</v>
      </c>
      <c r="G800" s="14">
        <f t="shared" ref="G800:H802" si="242">G801</f>
        <v>0</v>
      </c>
      <c r="H800" s="14">
        <f t="shared" si="242"/>
        <v>0</v>
      </c>
    </row>
    <row r="801" spans="1:8" ht="31.5">
      <c r="A801" s="1" t="s">
        <v>9</v>
      </c>
      <c r="B801" s="1" t="s">
        <v>50</v>
      </c>
      <c r="C801" s="7" t="s">
        <v>371</v>
      </c>
      <c r="D801" s="177"/>
      <c r="E801" s="30" t="s">
        <v>319</v>
      </c>
      <c r="F801" s="14">
        <f>F802</f>
        <v>286.60000000000002</v>
      </c>
      <c r="G801" s="14">
        <f t="shared" si="242"/>
        <v>0</v>
      </c>
      <c r="H801" s="14">
        <f t="shared" si="242"/>
        <v>0</v>
      </c>
    </row>
    <row r="802" spans="1:8" ht="31.5">
      <c r="A802" s="1" t="s">
        <v>9</v>
      </c>
      <c r="B802" s="1" t="s">
        <v>50</v>
      </c>
      <c r="C802" s="7" t="s">
        <v>371</v>
      </c>
      <c r="D802" s="177" t="s">
        <v>97</v>
      </c>
      <c r="E802" s="178" t="s">
        <v>98</v>
      </c>
      <c r="F802" s="14">
        <f>F803</f>
        <v>286.60000000000002</v>
      </c>
      <c r="G802" s="14">
        <f t="shared" si="242"/>
        <v>0</v>
      </c>
      <c r="H802" s="14">
        <f t="shared" si="242"/>
        <v>0</v>
      </c>
    </row>
    <row r="803" spans="1:8">
      <c r="A803" s="1" t="s">
        <v>9</v>
      </c>
      <c r="B803" s="1" t="s">
        <v>50</v>
      </c>
      <c r="C803" s="7" t="s">
        <v>371</v>
      </c>
      <c r="D803" s="177">
        <v>610</v>
      </c>
      <c r="E803" s="178" t="s">
        <v>104</v>
      </c>
      <c r="F803" s="14">
        <f>125+44.8+116.8</f>
        <v>286.60000000000002</v>
      </c>
      <c r="G803" s="14">
        <v>0</v>
      </c>
      <c r="H803" s="14">
        <v>0</v>
      </c>
    </row>
    <row r="804" spans="1:8" ht="47.25">
      <c r="A804" s="177" t="s">
        <v>9</v>
      </c>
      <c r="B804" s="48" t="s">
        <v>50</v>
      </c>
      <c r="C804" s="177">
        <v>3110800000</v>
      </c>
      <c r="D804" s="177"/>
      <c r="E804" s="178" t="s">
        <v>281</v>
      </c>
      <c r="F804" s="14">
        <f>F805+F808</f>
        <v>2735</v>
      </c>
      <c r="G804" s="14">
        <f t="shared" ref="G804:H804" si="243">G805+G808</f>
        <v>0</v>
      </c>
      <c r="H804" s="14">
        <f t="shared" si="243"/>
        <v>0</v>
      </c>
    </row>
    <row r="805" spans="1:8" ht="31.5">
      <c r="A805" s="1" t="s">
        <v>9</v>
      </c>
      <c r="B805" s="48" t="s">
        <v>50</v>
      </c>
      <c r="C805" s="177" t="s">
        <v>372</v>
      </c>
      <c r="D805" s="177"/>
      <c r="E805" s="178" t="s">
        <v>306</v>
      </c>
      <c r="F805" s="14">
        <f>F806</f>
        <v>1500</v>
      </c>
      <c r="G805" s="14">
        <f t="shared" ref="G805:H806" si="244">G806</f>
        <v>0</v>
      </c>
      <c r="H805" s="14">
        <f t="shared" si="244"/>
        <v>0</v>
      </c>
    </row>
    <row r="806" spans="1:8" ht="31.5">
      <c r="A806" s="177" t="s">
        <v>9</v>
      </c>
      <c r="B806" s="48" t="s">
        <v>50</v>
      </c>
      <c r="C806" s="177" t="s">
        <v>372</v>
      </c>
      <c r="D806" s="177" t="s">
        <v>97</v>
      </c>
      <c r="E806" s="178" t="s">
        <v>98</v>
      </c>
      <c r="F806" s="14">
        <f>F807</f>
        <v>1500</v>
      </c>
      <c r="G806" s="14">
        <f t="shared" si="244"/>
        <v>0</v>
      </c>
      <c r="H806" s="14">
        <f t="shared" si="244"/>
        <v>0</v>
      </c>
    </row>
    <row r="807" spans="1:8">
      <c r="A807" s="177" t="s">
        <v>9</v>
      </c>
      <c r="B807" s="48" t="s">
        <v>50</v>
      </c>
      <c r="C807" s="177" t="s">
        <v>372</v>
      </c>
      <c r="D807" s="177">
        <v>610</v>
      </c>
      <c r="E807" s="178" t="s">
        <v>104</v>
      </c>
      <c r="F807" s="14">
        <f>1485+15</f>
        <v>1500</v>
      </c>
      <c r="G807" s="14">
        <v>0</v>
      </c>
      <c r="H807" s="14">
        <v>0</v>
      </c>
    </row>
    <row r="808" spans="1:8" ht="47.25">
      <c r="A808" s="1" t="s">
        <v>9</v>
      </c>
      <c r="B808" s="48" t="s">
        <v>50</v>
      </c>
      <c r="C808" s="177" t="s">
        <v>373</v>
      </c>
      <c r="D808" s="177"/>
      <c r="E808" s="178" t="s">
        <v>406</v>
      </c>
      <c r="F808" s="14">
        <f>F809</f>
        <v>1235</v>
      </c>
      <c r="G808" s="14">
        <f t="shared" ref="G808:H809" si="245">G809</f>
        <v>0</v>
      </c>
      <c r="H808" s="14">
        <f t="shared" si="245"/>
        <v>0</v>
      </c>
    </row>
    <row r="809" spans="1:8" ht="31.5">
      <c r="A809" s="177" t="s">
        <v>9</v>
      </c>
      <c r="B809" s="48" t="s">
        <v>50</v>
      </c>
      <c r="C809" s="177" t="s">
        <v>373</v>
      </c>
      <c r="D809" s="177" t="s">
        <v>97</v>
      </c>
      <c r="E809" s="178" t="s">
        <v>98</v>
      </c>
      <c r="F809" s="14">
        <f>F810</f>
        <v>1235</v>
      </c>
      <c r="G809" s="14">
        <f t="shared" si="245"/>
        <v>0</v>
      </c>
      <c r="H809" s="14">
        <f t="shared" si="245"/>
        <v>0</v>
      </c>
    </row>
    <row r="810" spans="1:8">
      <c r="A810" s="177" t="s">
        <v>9</v>
      </c>
      <c r="B810" s="48" t="s">
        <v>50</v>
      </c>
      <c r="C810" s="177" t="s">
        <v>373</v>
      </c>
      <c r="D810" s="177">
        <v>610</v>
      </c>
      <c r="E810" s="178" t="s">
        <v>104</v>
      </c>
      <c r="F810" s="14">
        <v>1235</v>
      </c>
      <c r="G810" s="14">
        <v>0</v>
      </c>
      <c r="H810" s="14">
        <v>0</v>
      </c>
    </row>
    <row r="811" spans="1:8" ht="63">
      <c r="A811" s="177" t="s">
        <v>9</v>
      </c>
      <c r="B811" s="48" t="s">
        <v>50</v>
      </c>
      <c r="C811" s="177">
        <v>3111000000</v>
      </c>
      <c r="D811" s="177"/>
      <c r="E811" s="33" t="s">
        <v>475</v>
      </c>
      <c r="F811" s="14">
        <f>F812</f>
        <v>3985.5</v>
      </c>
      <c r="G811" s="14">
        <f t="shared" ref="G811:H813" si="246">G812</f>
        <v>0</v>
      </c>
      <c r="H811" s="14">
        <f t="shared" si="246"/>
        <v>0</v>
      </c>
    </row>
    <row r="812" spans="1:8" ht="31.5">
      <c r="A812" s="177" t="s">
        <v>9</v>
      </c>
      <c r="B812" s="48" t="s">
        <v>50</v>
      </c>
      <c r="C812" s="177">
        <v>3111020030</v>
      </c>
      <c r="D812" s="177"/>
      <c r="E812" s="178" t="s">
        <v>282</v>
      </c>
      <c r="F812" s="14">
        <f>F813</f>
        <v>3985.5</v>
      </c>
      <c r="G812" s="14">
        <f t="shared" si="246"/>
        <v>0</v>
      </c>
      <c r="H812" s="14">
        <f t="shared" si="246"/>
        <v>0</v>
      </c>
    </row>
    <row r="813" spans="1:8" ht="31.5">
      <c r="A813" s="177" t="s">
        <v>9</v>
      </c>
      <c r="B813" s="48" t="s">
        <v>50</v>
      </c>
      <c r="C813" s="177">
        <v>3111020030</v>
      </c>
      <c r="D813" s="177" t="s">
        <v>97</v>
      </c>
      <c r="E813" s="178" t="s">
        <v>98</v>
      </c>
      <c r="F813" s="14">
        <f>F814</f>
        <v>3985.5</v>
      </c>
      <c r="G813" s="14">
        <f t="shared" si="246"/>
        <v>0</v>
      </c>
      <c r="H813" s="14">
        <f t="shared" si="246"/>
        <v>0</v>
      </c>
    </row>
    <row r="814" spans="1:8">
      <c r="A814" s="177" t="s">
        <v>9</v>
      </c>
      <c r="B814" s="48" t="s">
        <v>50</v>
      </c>
      <c r="C814" s="177">
        <v>3111020030</v>
      </c>
      <c r="D814" s="177">
        <v>610</v>
      </c>
      <c r="E814" s="178" t="s">
        <v>104</v>
      </c>
      <c r="F814" s="14">
        <f>103.6+2916.8-125+1090.1</f>
        <v>3985.5</v>
      </c>
      <c r="G814" s="14">
        <v>0</v>
      </c>
      <c r="H814" s="14">
        <v>0</v>
      </c>
    </row>
    <row r="815" spans="1:8" ht="31.5">
      <c r="A815" s="1" t="s">
        <v>9</v>
      </c>
      <c r="B815" s="48" t="s">
        <v>50</v>
      </c>
      <c r="C815" s="177">
        <v>3500000000</v>
      </c>
      <c r="D815" s="177"/>
      <c r="E815" s="178" t="s">
        <v>330</v>
      </c>
      <c r="F815" s="57">
        <f>F816</f>
        <v>3912.9000000000005</v>
      </c>
      <c r="G815" s="57">
        <f>G816</f>
        <v>2303.9</v>
      </c>
      <c r="H815" s="57">
        <f>H816</f>
        <v>2303.9</v>
      </c>
    </row>
    <row r="816" spans="1:8" ht="31.5">
      <c r="A816" s="1" t="s">
        <v>9</v>
      </c>
      <c r="B816" s="48" t="s">
        <v>50</v>
      </c>
      <c r="C816" s="177">
        <v>3520000000</v>
      </c>
      <c r="D816" s="177"/>
      <c r="E816" s="178" t="s">
        <v>228</v>
      </c>
      <c r="F816" s="57">
        <f>F817+F821+F825+F829</f>
        <v>3912.9000000000005</v>
      </c>
      <c r="G816" s="57">
        <f t="shared" ref="G816:H816" si="247">G817+G821+G825+G829</f>
        <v>2303.9</v>
      </c>
      <c r="H816" s="57">
        <f t="shared" si="247"/>
        <v>2303.9</v>
      </c>
    </row>
    <row r="817" spans="1:8" ht="47.25">
      <c r="A817" s="1" t="s">
        <v>9</v>
      </c>
      <c r="B817" s="48" t="s">
        <v>50</v>
      </c>
      <c r="C817" s="177">
        <v>3520200000</v>
      </c>
      <c r="D817" s="177"/>
      <c r="E817" s="178" t="s">
        <v>260</v>
      </c>
      <c r="F817" s="49">
        <f>F818</f>
        <v>1274.2000000000003</v>
      </c>
      <c r="G817" s="49">
        <f t="shared" ref="G817:H817" si="248">G818</f>
        <v>0</v>
      </c>
      <c r="H817" s="49">
        <f t="shared" si="248"/>
        <v>0</v>
      </c>
    </row>
    <row r="818" spans="1:8">
      <c r="A818" s="1" t="s">
        <v>9</v>
      </c>
      <c r="B818" s="1" t="s">
        <v>50</v>
      </c>
      <c r="C818" s="177">
        <v>3520220190</v>
      </c>
      <c r="D818" s="177"/>
      <c r="E818" s="178" t="s">
        <v>285</v>
      </c>
      <c r="F818" s="49">
        <f>F819</f>
        <v>1274.2000000000003</v>
      </c>
      <c r="G818" s="49">
        <f t="shared" ref="G818:H819" si="249">G819</f>
        <v>0</v>
      </c>
      <c r="H818" s="49">
        <f t="shared" si="249"/>
        <v>0</v>
      </c>
    </row>
    <row r="819" spans="1:8" ht="31.5">
      <c r="A819" s="1" t="s">
        <v>9</v>
      </c>
      <c r="B819" s="1" t="s">
        <v>50</v>
      </c>
      <c r="C819" s="177">
        <v>3520220190</v>
      </c>
      <c r="D819" s="177" t="s">
        <v>97</v>
      </c>
      <c r="E819" s="178" t="s">
        <v>98</v>
      </c>
      <c r="F819" s="49">
        <f>F820</f>
        <v>1274.2000000000003</v>
      </c>
      <c r="G819" s="49">
        <f t="shared" si="249"/>
        <v>0</v>
      </c>
      <c r="H819" s="49">
        <f t="shared" si="249"/>
        <v>0</v>
      </c>
    </row>
    <row r="820" spans="1:8">
      <c r="A820" s="1" t="s">
        <v>9</v>
      </c>
      <c r="B820" s="1" t="s">
        <v>50</v>
      </c>
      <c r="C820" s="177">
        <v>3520220190</v>
      </c>
      <c r="D820" s="177">
        <v>610</v>
      </c>
      <c r="E820" s="178" t="s">
        <v>104</v>
      </c>
      <c r="F820" s="49">
        <f>1068+1296.3-1090.1</f>
        <v>1274.2000000000003</v>
      </c>
      <c r="G820" s="49">
        <v>0</v>
      </c>
      <c r="H820" s="49">
        <v>0</v>
      </c>
    </row>
    <row r="821" spans="1:8" ht="31.5">
      <c r="A821" s="1" t="s">
        <v>9</v>
      </c>
      <c r="B821" s="48" t="s">
        <v>50</v>
      </c>
      <c r="C821" s="177">
        <v>3520300000</v>
      </c>
      <c r="D821" s="177"/>
      <c r="E821" s="30" t="s">
        <v>264</v>
      </c>
      <c r="F821" s="49">
        <f>F822</f>
        <v>1186</v>
      </c>
      <c r="G821" s="49">
        <f t="shared" ref="G821:H823" si="250">G822</f>
        <v>824.7</v>
      </c>
      <c r="H821" s="49">
        <f t="shared" si="250"/>
        <v>824.7</v>
      </c>
    </row>
    <row r="822" spans="1:8">
      <c r="A822" s="1" t="s">
        <v>9</v>
      </c>
      <c r="B822" s="48" t="s">
        <v>50</v>
      </c>
      <c r="C822" s="177">
        <v>3520320300</v>
      </c>
      <c r="D822" s="177"/>
      <c r="E822" s="30" t="s">
        <v>265</v>
      </c>
      <c r="F822" s="49">
        <f>F823</f>
        <v>1186</v>
      </c>
      <c r="G822" s="49">
        <f t="shared" si="250"/>
        <v>824.7</v>
      </c>
      <c r="H822" s="49">
        <f t="shared" si="250"/>
        <v>824.7</v>
      </c>
    </row>
    <row r="823" spans="1:8" ht="31.5">
      <c r="A823" s="1" t="s">
        <v>9</v>
      </c>
      <c r="B823" s="48" t="s">
        <v>50</v>
      </c>
      <c r="C823" s="177">
        <v>3520320300</v>
      </c>
      <c r="D823" s="177" t="s">
        <v>97</v>
      </c>
      <c r="E823" s="30" t="s">
        <v>98</v>
      </c>
      <c r="F823" s="49">
        <f>F824</f>
        <v>1186</v>
      </c>
      <c r="G823" s="49">
        <f t="shared" si="250"/>
        <v>824.7</v>
      </c>
      <c r="H823" s="49">
        <f t="shared" si="250"/>
        <v>824.7</v>
      </c>
    </row>
    <row r="824" spans="1:8">
      <c r="A824" s="1" t="s">
        <v>9</v>
      </c>
      <c r="B824" s="48" t="s">
        <v>50</v>
      </c>
      <c r="C824" s="177">
        <v>3520320300</v>
      </c>
      <c r="D824" s="177">
        <v>610</v>
      </c>
      <c r="E824" s="30" t="s">
        <v>104</v>
      </c>
      <c r="F824" s="49">
        <f>1124.7-40+101.3</f>
        <v>1186</v>
      </c>
      <c r="G824" s="49">
        <v>824.7</v>
      </c>
      <c r="H824" s="49">
        <v>824.7</v>
      </c>
    </row>
    <row r="825" spans="1:8" ht="31.5">
      <c r="A825" s="1" t="s">
        <v>9</v>
      </c>
      <c r="B825" s="48" t="s">
        <v>50</v>
      </c>
      <c r="C825" s="177">
        <v>3520400000</v>
      </c>
      <c r="D825" s="177"/>
      <c r="E825" s="178" t="s">
        <v>270</v>
      </c>
      <c r="F825" s="49">
        <f>F826</f>
        <v>886.80000000000007</v>
      </c>
      <c r="G825" s="49">
        <f t="shared" ref="G825:H827" si="251">G826</f>
        <v>897.5</v>
      </c>
      <c r="H825" s="49">
        <f t="shared" si="251"/>
        <v>897.5</v>
      </c>
    </row>
    <row r="826" spans="1:8">
      <c r="A826" s="1" t="s">
        <v>9</v>
      </c>
      <c r="B826" s="48" t="s">
        <v>50</v>
      </c>
      <c r="C826" s="177">
        <v>3520420300</v>
      </c>
      <c r="D826" s="177"/>
      <c r="E826" s="178" t="s">
        <v>271</v>
      </c>
      <c r="F826" s="49">
        <f>F827</f>
        <v>886.80000000000007</v>
      </c>
      <c r="G826" s="49">
        <f t="shared" si="251"/>
        <v>897.5</v>
      </c>
      <c r="H826" s="49">
        <f t="shared" si="251"/>
        <v>897.5</v>
      </c>
    </row>
    <row r="827" spans="1:8" ht="31.5">
      <c r="A827" s="1" t="s">
        <v>9</v>
      </c>
      <c r="B827" s="48" t="s">
        <v>50</v>
      </c>
      <c r="C827" s="177">
        <v>3520420300</v>
      </c>
      <c r="D827" s="177" t="s">
        <v>97</v>
      </c>
      <c r="E827" s="30" t="s">
        <v>98</v>
      </c>
      <c r="F827" s="49">
        <f>F828</f>
        <v>886.80000000000007</v>
      </c>
      <c r="G827" s="49">
        <f t="shared" si="251"/>
        <v>897.5</v>
      </c>
      <c r="H827" s="49">
        <f t="shared" si="251"/>
        <v>897.5</v>
      </c>
    </row>
    <row r="828" spans="1:8">
      <c r="A828" s="1" t="s">
        <v>9</v>
      </c>
      <c r="B828" s="48" t="s">
        <v>50</v>
      </c>
      <c r="C828" s="177">
        <v>3520420300</v>
      </c>
      <c r="D828" s="177">
        <v>610</v>
      </c>
      <c r="E828" s="30" t="s">
        <v>104</v>
      </c>
      <c r="F828" s="49">
        <f>1197.5-63.6-141.7-105.4</f>
        <v>886.80000000000007</v>
      </c>
      <c r="G828" s="49">
        <v>897.5</v>
      </c>
      <c r="H828" s="49">
        <v>897.5</v>
      </c>
    </row>
    <row r="829" spans="1:8" ht="31.5">
      <c r="A829" s="1" t="s">
        <v>9</v>
      </c>
      <c r="B829" s="48" t="s">
        <v>50</v>
      </c>
      <c r="C829" s="177">
        <v>3520500000</v>
      </c>
      <c r="D829" s="177"/>
      <c r="E829" s="178" t="s">
        <v>269</v>
      </c>
      <c r="F829" s="49">
        <f>F830</f>
        <v>565.90000000000009</v>
      </c>
      <c r="G829" s="49">
        <f t="shared" ref="G829:H831" si="252">G830</f>
        <v>581.70000000000005</v>
      </c>
      <c r="H829" s="49">
        <f t="shared" si="252"/>
        <v>581.70000000000005</v>
      </c>
    </row>
    <row r="830" spans="1:8">
      <c r="A830" s="1" t="s">
        <v>9</v>
      </c>
      <c r="B830" s="48" t="s">
        <v>50</v>
      </c>
      <c r="C830" s="177">
        <v>3520520200</v>
      </c>
      <c r="D830" s="177"/>
      <c r="E830" s="178" t="s">
        <v>252</v>
      </c>
      <c r="F830" s="49">
        <f>F831</f>
        <v>565.90000000000009</v>
      </c>
      <c r="G830" s="49">
        <f t="shared" si="252"/>
        <v>581.70000000000005</v>
      </c>
      <c r="H830" s="49">
        <f t="shared" si="252"/>
        <v>581.70000000000005</v>
      </c>
    </row>
    <row r="831" spans="1:8" ht="31.5">
      <c r="A831" s="1" t="s">
        <v>9</v>
      </c>
      <c r="B831" s="48" t="s">
        <v>50</v>
      </c>
      <c r="C831" s="177">
        <v>3520520200</v>
      </c>
      <c r="D831" s="177" t="s">
        <v>97</v>
      </c>
      <c r="E831" s="30" t="s">
        <v>98</v>
      </c>
      <c r="F831" s="49">
        <f>F832</f>
        <v>565.90000000000009</v>
      </c>
      <c r="G831" s="49">
        <f t="shared" si="252"/>
        <v>581.70000000000005</v>
      </c>
      <c r="H831" s="49">
        <f t="shared" si="252"/>
        <v>581.70000000000005</v>
      </c>
    </row>
    <row r="832" spans="1:8">
      <c r="A832" s="1" t="s">
        <v>9</v>
      </c>
      <c r="B832" s="48" t="s">
        <v>50</v>
      </c>
      <c r="C832" s="177">
        <v>3520520200</v>
      </c>
      <c r="D832" s="177">
        <v>610</v>
      </c>
      <c r="E832" s="30" t="s">
        <v>104</v>
      </c>
      <c r="F832" s="49">
        <f>581.7-4.4-11.4</f>
        <v>565.90000000000009</v>
      </c>
      <c r="G832" s="49">
        <v>581.70000000000005</v>
      </c>
      <c r="H832" s="49">
        <v>581.70000000000005</v>
      </c>
    </row>
    <row r="833" spans="1:8">
      <c r="A833" s="177" t="s">
        <v>9</v>
      </c>
      <c r="B833" s="177" t="s">
        <v>51</v>
      </c>
      <c r="C833" s="177" t="s">
        <v>66</v>
      </c>
      <c r="D833" s="177" t="s">
        <v>66</v>
      </c>
      <c r="E833" s="178" t="s">
        <v>11</v>
      </c>
      <c r="F833" s="14">
        <f>F834+F900+F914</f>
        <v>519409.29999999993</v>
      </c>
      <c r="G833" s="14">
        <f>G834+G900+G914</f>
        <v>509958.69999999995</v>
      </c>
      <c r="H833" s="14">
        <f>H834+H900+H914</f>
        <v>511767.2</v>
      </c>
    </row>
    <row r="834" spans="1:8" ht="47.25">
      <c r="A834" s="177" t="s">
        <v>9</v>
      </c>
      <c r="B834" s="177" t="s">
        <v>51</v>
      </c>
      <c r="C834" s="177">
        <v>3100000000</v>
      </c>
      <c r="D834" s="177"/>
      <c r="E834" s="178" t="s">
        <v>328</v>
      </c>
      <c r="F834" s="14">
        <f>F835+F888+F880</f>
        <v>514157.69999999995</v>
      </c>
      <c r="G834" s="14">
        <f>G835+G888+G880</f>
        <v>506120.69999999995</v>
      </c>
      <c r="H834" s="14">
        <f>H835+H888+H880</f>
        <v>507929.2</v>
      </c>
    </row>
    <row r="835" spans="1:8">
      <c r="A835" s="177" t="s">
        <v>9</v>
      </c>
      <c r="B835" s="177" t="s">
        <v>51</v>
      </c>
      <c r="C835" s="177">
        <v>3110000000</v>
      </c>
      <c r="D835" s="177"/>
      <c r="E835" s="178" t="s">
        <v>214</v>
      </c>
      <c r="F835" s="14">
        <f>F836+F846+F870+F856+F863</f>
        <v>501371.09999999992</v>
      </c>
      <c r="G835" s="14">
        <f>G836+G846+G870+G856+G863</f>
        <v>496521.49999999994</v>
      </c>
      <c r="H835" s="14">
        <f>H836+H846+H870+H856+H863</f>
        <v>498290.5</v>
      </c>
    </row>
    <row r="836" spans="1:8" ht="47.25">
      <c r="A836" s="177" t="s">
        <v>9</v>
      </c>
      <c r="B836" s="177" t="s">
        <v>51</v>
      </c>
      <c r="C836" s="177">
        <v>3110100000</v>
      </c>
      <c r="D836" s="30"/>
      <c r="E836" s="178" t="s">
        <v>164</v>
      </c>
      <c r="F836" s="14">
        <f>F840+F837+F843</f>
        <v>432629.99999999994</v>
      </c>
      <c r="G836" s="14">
        <f t="shared" ref="G836:H836" si="253">G840+G837+G843</f>
        <v>433963.1</v>
      </c>
      <c r="H836" s="14">
        <f t="shared" si="253"/>
        <v>436831.2</v>
      </c>
    </row>
    <row r="837" spans="1:8" ht="94.5">
      <c r="A837" s="177" t="s">
        <v>9</v>
      </c>
      <c r="B837" s="177" t="s">
        <v>51</v>
      </c>
      <c r="C837" s="177">
        <v>3110110750</v>
      </c>
      <c r="D837" s="177"/>
      <c r="E837" s="178" t="s">
        <v>165</v>
      </c>
      <c r="F837" s="14">
        <f t="shared" ref="F837:H838" si="254">F838</f>
        <v>368045.89999999997</v>
      </c>
      <c r="G837" s="14">
        <f t="shared" si="254"/>
        <v>368661.1</v>
      </c>
      <c r="H837" s="14">
        <f t="shared" si="254"/>
        <v>371025.9</v>
      </c>
    </row>
    <row r="838" spans="1:8" ht="31.5">
      <c r="A838" s="177" t="s">
        <v>9</v>
      </c>
      <c r="B838" s="177" t="s">
        <v>51</v>
      </c>
      <c r="C838" s="177">
        <v>3110110750</v>
      </c>
      <c r="D838" s="177" t="s">
        <v>97</v>
      </c>
      <c r="E838" s="178" t="s">
        <v>98</v>
      </c>
      <c r="F838" s="14">
        <f t="shared" si="254"/>
        <v>368045.89999999997</v>
      </c>
      <c r="G838" s="14">
        <f t="shared" si="254"/>
        <v>368661.1</v>
      </c>
      <c r="H838" s="14">
        <f t="shared" si="254"/>
        <v>371025.9</v>
      </c>
    </row>
    <row r="839" spans="1:8">
      <c r="A839" s="177" t="s">
        <v>9</v>
      </c>
      <c r="B839" s="177" t="s">
        <v>51</v>
      </c>
      <c r="C839" s="177">
        <v>3110110750</v>
      </c>
      <c r="D839" s="177">
        <v>610</v>
      </c>
      <c r="E839" s="178" t="s">
        <v>104</v>
      </c>
      <c r="F839" s="14">
        <f>366810.6+1235.3</f>
        <v>368045.89999999997</v>
      </c>
      <c r="G839" s="14">
        <v>368661.1</v>
      </c>
      <c r="H839" s="14">
        <v>371025.9</v>
      </c>
    </row>
    <row r="840" spans="1:8" ht="31.5">
      <c r="A840" s="177" t="s">
        <v>9</v>
      </c>
      <c r="B840" s="177" t="s">
        <v>51</v>
      </c>
      <c r="C840" s="7" t="s">
        <v>357</v>
      </c>
      <c r="D840" s="7"/>
      <c r="E840" s="22" t="s">
        <v>123</v>
      </c>
      <c r="F840" s="14">
        <f t="shared" ref="F840:H841" si="255">F841</f>
        <v>64221.8</v>
      </c>
      <c r="G840" s="14">
        <f t="shared" si="255"/>
        <v>65302</v>
      </c>
      <c r="H840" s="14">
        <f t="shared" si="255"/>
        <v>65805.3</v>
      </c>
    </row>
    <row r="841" spans="1:8" ht="31.5">
      <c r="A841" s="177" t="s">
        <v>9</v>
      </c>
      <c r="B841" s="177" t="s">
        <v>51</v>
      </c>
      <c r="C841" s="7" t="s">
        <v>357</v>
      </c>
      <c r="D841" s="177" t="s">
        <v>97</v>
      </c>
      <c r="E841" s="178" t="s">
        <v>98</v>
      </c>
      <c r="F841" s="14">
        <f t="shared" si="255"/>
        <v>64221.8</v>
      </c>
      <c r="G841" s="14">
        <f t="shared" si="255"/>
        <v>65302</v>
      </c>
      <c r="H841" s="14">
        <f t="shared" si="255"/>
        <v>65805.3</v>
      </c>
    </row>
    <row r="842" spans="1:8">
      <c r="A842" s="177" t="s">
        <v>9</v>
      </c>
      <c r="B842" s="177" t="s">
        <v>51</v>
      </c>
      <c r="C842" s="7" t="s">
        <v>357</v>
      </c>
      <c r="D842" s="177">
        <v>610</v>
      </c>
      <c r="E842" s="178" t="s">
        <v>104</v>
      </c>
      <c r="F842" s="14">
        <f>64824.4-599-3.6</f>
        <v>64221.8</v>
      </c>
      <c r="G842" s="14">
        <v>65302</v>
      </c>
      <c r="H842" s="14">
        <v>65805.3</v>
      </c>
    </row>
    <row r="843" spans="1:8" ht="31.5">
      <c r="A843" s="177" t="s">
        <v>9</v>
      </c>
      <c r="B843" s="177" t="s">
        <v>51</v>
      </c>
      <c r="C843" s="7" t="s">
        <v>803</v>
      </c>
      <c r="D843" s="177"/>
      <c r="E843" s="33" t="s">
        <v>801</v>
      </c>
      <c r="F843" s="14">
        <f>F844</f>
        <v>362.3</v>
      </c>
      <c r="G843" s="14">
        <f t="shared" ref="G843:G844" si="256">G844</f>
        <v>0</v>
      </c>
      <c r="H843" s="14">
        <f t="shared" ref="H843:H844" si="257">H844</f>
        <v>0</v>
      </c>
    </row>
    <row r="844" spans="1:8" ht="31.5">
      <c r="A844" s="177" t="s">
        <v>9</v>
      </c>
      <c r="B844" s="177" t="s">
        <v>51</v>
      </c>
      <c r="C844" s="7" t="s">
        <v>803</v>
      </c>
      <c r="D844" s="177" t="s">
        <v>97</v>
      </c>
      <c r="E844" s="178" t="s">
        <v>98</v>
      </c>
      <c r="F844" s="14">
        <f>F845</f>
        <v>362.3</v>
      </c>
      <c r="G844" s="14">
        <f t="shared" si="256"/>
        <v>0</v>
      </c>
      <c r="H844" s="14">
        <f t="shared" si="257"/>
        <v>0</v>
      </c>
    </row>
    <row r="845" spans="1:8">
      <c r="A845" s="177" t="s">
        <v>9</v>
      </c>
      <c r="B845" s="177" t="s">
        <v>51</v>
      </c>
      <c r="C845" s="7" t="s">
        <v>803</v>
      </c>
      <c r="D845" s="177">
        <v>610</v>
      </c>
      <c r="E845" s="178" t="s">
        <v>104</v>
      </c>
      <c r="F845" s="14">
        <f>358.7+3.6</f>
        <v>362.3</v>
      </c>
      <c r="G845" s="14">
        <v>0</v>
      </c>
      <c r="H845" s="14">
        <v>0</v>
      </c>
    </row>
    <row r="846" spans="1:8" ht="31.5">
      <c r="A846" s="177" t="s">
        <v>9</v>
      </c>
      <c r="B846" s="177" t="s">
        <v>51</v>
      </c>
      <c r="C846" s="177">
        <v>3110300000</v>
      </c>
      <c r="D846" s="177"/>
      <c r="E846" s="178" t="s">
        <v>374</v>
      </c>
      <c r="F846" s="14">
        <f>F847+F850+F853</f>
        <v>32431.7</v>
      </c>
      <c r="G846" s="14">
        <f t="shared" ref="G846:H846" si="258">G847+G850+G853</f>
        <v>30322.1</v>
      </c>
      <c r="H846" s="14">
        <f t="shared" si="258"/>
        <v>29186.5</v>
      </c>
    </row>
    <row r="847" spans="1:8" ht="47.25">
      <c r="A847" s="177" t="s">
        <v>9</v>
      </c>
      <c r="B847" s="177" t="s">
        <v>51</v>
      </c>
      <c r="C847" s="177" t="s">
        <v>358</v>
      </c>
      <c r="D847" s="177"/>
      <c r="E847" s="178" t="s">
        <v>246</v>
      </c>
      <c r="F847" s="14">
        <f t="shared" ref="F847:H848" si="259">F848</f>
        <v>25463</v>
      </c>
      <c r="G847" s="14">
        <f t="shared" si="259"/>
        <v>24840.699999999997</v>
      </c>
      <c r="H847" s="14">
        <f t="shared" si="259"/>
        <v>23705</v>
      </c>
    </row>
    <row r="848" spans="1:8" ht="31.5">
      <c r="A848" s="177" t="s">
        <v>9</v>
      </c>
      <c r="B848" s="177" t="s">
        <v>51</v>
      </c>
      <c r="C848" s="177" t="s">
        <v>358</v>
      </c>
      <c r="D848" s="177" t="s">
        <v>97</v>
      </c>
      <c r="E848" s="178" t="s">
        <v>98</v>
      </c>
      <c r="F848" s="14">
        <f t="shared" si="259"/>
        <v>25463</v>
      </c>
      <c r="G848" s="14">
        <f t="shared" si="259"/>
        <v>24840.699999999997</v>
      </c>
      <c r="H848" s="14">
        <f t="shared" si="259"/>
        <v>23705</v>
      </c>
    </row>
    <row r="849" spans="1:8">
      <c r="A849" s="177" t="s">
        <v>9</v>
      </c>
      <c r="B849" s="177" t="s">
        <v>51</v>
      </c>
      <c r="C849" s="177" t="s">
        <v>358</v>
      </c>
      <c r="D849" s="177">
        <v>610</v>
      </c>
      <c r="E849" s="178" t="s">
        <v>104</v>
      </c>
      <c r="F849" s="14">
        <f>22916.7+2546.3</f>
        <v>25463</v>
      </c>
      <c r="G849" s="14">
        <f>22356.6+2484.1</f>
        <v>24840.699999999997</v>
      </c>
      <c r="H849" s="14">
        <f>21334.6+2370.5-0.1</f>
        <v>23705</v>
      </c>
    </row>
    <row r="850" spans="1:8" ht="47.25">
      <c r="A850" s="177" t="s">
        <v>9</v>
      </c>
      <c r="B850" s="177" t="s">
        <v>51</v>
      </c>
      <c r="C850" s="177">
        <v>3110320010</v>
      </c>
      <c r="D850" s="177"/>
      <c r="E850" s="178" t="s">
        <v>258</v>
      </c>
      <c r="F850" s="14">
        <f>F851</f>
        <v>5053</v>
      </c>
      <c r="G850" s="14">
        <f t="shared" ref="G850:H851" si="260">G851</f>
        <v>4500</v>
      </c>
      <c r="H850" s="14">
        <f t="shared" si="260"/>
        <v>4500</v>
      </c>
    </row>
    <row r="851" spans="1:8" ht="31.5">
      <c r="A851" s="177" t="s">
        <v>9</v>
      </c>
      <c r="B851" s="177" t="s">
        <v>51</v>
      </c>
      <c r="C851" s="177">
        <v>3110320010</v>
      </c>
      <c r="D851" s="177" t="s">
        <v>97</v>
      </c>
      <c r="E851" s="178" t="s">
        <v>98</v>
      </c>
      <c r="F851" s="14">
        <f>F852</f>
        <v>5053</v>
      </c>
      <c r="G851" s="14">
        <f t="shared" si="260"/>
        <v>4500</v>
      </c>
      <c r="H851" s="14">
        <f t="shared" si="260"/>
        <v>4500</v>
      </c>
    </row>
    <row r="852" spans="1:8">
      <c r="A852" s="177" t="s">
        <v>9</v>
      </c>
      <c r="B852" s="177" t="s">
        <v>51</v>
      </c>
      <c r="C852" s="177">
        <v>3110320010</v>
      </c>
      <c r="D852" s="177">
        <v>610</v>
      </c>
      <c r="E852" s="178" t="s">
        <v>104</v>
      </c>
      <c r="F852" s="14">
        <f>5541.7-488.7</f>
        <v>5053</v>
      </c>
      <c r="G852" s="14">
        <v>4500</v>
      </c>
      <c r="H852" s="14">
        <v>4500</v>
      </c>
    </row>
    <row r="853" spans="1:8" ht="47.25">
      <c r="A853" s="1" t="s">
        <v>9</v>
      </c>
      <c r="B853" s="177" t="s">
        <v>51</v>
      </c>
      <c r="C853" s="177">
        <v>3110320020</v>
      </c>
      <c r="D853" s="177"/>
      <c r="E853" s="178" t="s">
        <v>290</v>
      </c>
      <c r="F853" s="14">
        <f>F854</f>
        <v>1915.7</v>
      </c>
      <c r="G853" s="14">
        <f t="shared" ref="G853:H854" si="261">G854</f>
        <v>981.4</v>
      </c>
      <c r="H853" s="14">
        <f t="shared" si="261"/>
        <v>981.5</v>
      </c>
    </row>
    <row r="854" spans="1:8" ht="31.5">
      <c r="A854" s="1" t="s">
        <v>9</v>
      </c>
      <c r="B854" s="177" t="s">
        <v>51</v>
      </c>
      <c r="C854" s="177">
        <v>3110320020</v>
      </c>
      <c r="D854" s="177" t="s">
        <v>97</v>
      </c>
      <c r="E854" s="178" t="s">
        <v>98</v>
      </c>
      <c r="F854" s="14">
        <f>F855</f>
        <v>1915.7</v>
      </c>
      <c r="G854" s="14">
        <f t="shared" si="261"/>
        <v>981.4</v>
      </c>
      <c r="H854" s="14">
        <f t="shared" si="261"/>
        <v>981.5</v>
      </c>
    </row>
    <row r="855" spans="1:8">
      <c r="A855" s="1" t="s">
        <v>9</v>
      </c>
      <c r="B855" s="177" t="s">
        <v>51</v>
      </c>
      <c r="C855" s="177">
        <v>3110320020</v>
      </c>
      <c r="D855" s="177">
        <v>610</v>
      </c>
      <c r="E855" s="178" t="s">
        <v>104</v>
      </c>
      <c r="F855" s="14">
        <f>1427+488.7</f>
        <v>1915.7</v>
      </c>
      <c r="G855" s="14">
        <v>981.4</v>
      </c>
      <c r="H855" s="14">
        <f>981.4+0.1</f>
        <v>981.5</v>
      </c>
    </row>
    <row r="856" spans="1:8" ht="78.75">
      <c r="A856" s="177" t="s">
        <v>9</v>
      </c>
      <c r="B856" s="177" t="s">
        <v>51</v>
      </c>
      <c r="C856" s="177">
        <v>3110500000</v>
      </c>
      <c r="D856" s="177"/>
      <c r="E856" s="178" t="s">
        <v>229</v>
      </c>
      <c r="F856" s="14">
        <f>F860+F857</f>
        <v>2190.5</v>
      </c>
      <c r="G856" s="14">
        <f t="shared" ref="G856:H856" si="262">G860+G857</f>
        <v>0</v>
      </c>
      <c r="H856" s="14">
        <f t="shared" si="262"/>
        <v>0</v>
      </c>
    </row>
    <row r="857" spans="1:8" ht="31.5">
      <c r="A857" s="1" t="s">
        <v>9</v>
      </c>
      <c r="B857" s="177" t="s">
        <v>51</v>
      </c>
      <c r="C857" s="7" t="s">
        <v>371</v>
      </c>
      <c r="D857" s="177"/>
      <c r="E857" s="30" t="s">
        <v>319</v>
      </c>
      <c r="F857" s="14">
        <f>F858</f>
        <v>690.5</v>
      </c>
      <c r="G857" s="14">
        <f t="shared" ref="G857:H858" si="263">G858</f>
        <v>0</v>
      </c>
      <c r="H857" s="14">
        <f t="shared" si="263"/>
        <v>0</v>
      </c>
    </row>
    <row r="858" spans="1:8" ht="31.5">
      <c r="A858" s="1" t="s">
        <v>9</v>
      </c>
      <c r="B858" s="177" t="s">
        <v>51</v>
      </c>
      <c r="C858" s="7" t="s">
        <v>371</v>
      </c>
      <c r="D858" s="177" t="s">
        <v>97</v>
      </c>
      <c r="E858" s="178" t="s">
        <v>98</v>
      </c>
      <c r="F858" s="14">
        <f>F859</f>
        <v>690.5</v>
      </c>
      <c r="G858" s="14">
        <f t="shared" si="263"/>
        <v>0</v>
      </c>
      <c r="H858" s="14">
        <f t="shared" si="263"/>
        <v>0</v>
      </c>
    </row>
    <row r="859" spans="1:8">
      <c r="A859" s="1" t="s">
        <v>9</v>
      </c>
      <c r="B859" s="177" t="s">
        <v>51</v>
      </c>
      <c r="C859" s="7" t="s">
        <v>371</v>
      </c>
      <c r="D859" s="177">
        <v>610</v>
      </c>
      <c r="E859" s="178" t="s">
        <v>104</v>
      </c>
      <c r="F859" s="14">
        <v>690.5</v>
      </c>
      <c r="G859" s="14">
        <v>0</v>
      </c>
      <c r="H859" s="14">
        <v>0</v>
      </c>
    </row>
    <row r="860" spans="1:8" ht="47.25">
      <c r="A860" s="177" t="s">
        <v>9</v>
      </c>
      <c r="B860" s="177" t="s">
        <v>51</v>
      </c>
      <c r="C860" s="7" t="s">
        <v>382</v>
      </c>
      <c r="D860" s="177"/>
      <c r="E860" s="30" t="s">
        <v>381</v>
      </c>
      <c r="F860" s="14">
        <f>F861</f>
        <v>1500</v>
      </c>
      <c r="G860" s="14">
        <f t="shared" ref="G860:H861" si="264">G861</f>
        <v>0</v>
      </c>
      <c r="H860" s="14">
        <f t="shared" si="264"/>
        <v>0</v>
      </c>
    </row>
    <row r="861" spans="1:8" ht="31.5">
      <c r="A861" s="1" t="s">
        <v>9</v>
      </c>
      <c r="B861" s="177" t="s">
        <v>51</v>
      </c>
      <c r="C861" s="7" t="s">
        <v>382</v>
      </c>
      <c r="D861" s="177" t="s">
        <v>97</v>
      </c>
      <c r="E861" s="178" t="s">
        <v>98</v>
      </c>
      <c r="F861" s="14">
        <f>F862</f>
        <v>1500</v>
      </c>
      <c r="G861" s="14">
        <f t="shared" si="264"/>
        <v>0</v>
      </c>
      <c r="H861" s="14">
        <f t="shared" si="264"/>
        <v>0</v>
      </c>
    </row>
    <row r="862" spans="1:8">
      <c r="A862" s="1" t="s">
        <v>9</v>
      </c>
      <c r="B862" s="177" t="s">
        <v>51</v>
      </c>
      <c r="C862" s="7" t="s">
        <v>382</v>
      </c>
      <c r="D862" s="177">
        <v>610</v>
      </c>
      <c r="E862" s="178" t="s">
        <v>104</v>
      </c>
      <c r="F862" s="14">
        <f>1200+300</f>
        <v>1500</v>
      </c>
      <c r="G862" s="14">
        <v>0</v>
      </c>
      <c r="H862" s="14">
        <v>0</v>
      </c>
    </row>
    <row r="863" spans="1:8" ht="31.5">
      <c r="A863" s="177" t="s">
        <v>9</v>
      </c>
      <c r="B863" s="177" t="s">
        <v>51</v>
      </c>
      <c r="C863" s="7" t="s">
        <v>466</v>
      </c>
      <c r="D863" s="177"/>
      <c r="E863" s="178" t="s">
        <v>467</v>
      </c>
      <c r="F863" s="14">
        <f>F867+F864</f>
        <v>1949.1</v>
      </c>
      <c r="G863" s="14">
        <f t="shared" ref="G863:H863" si="265">G867+G864</f>
        <v>0</v>
      </c>
      <c r="H863" s="14">
        <f t="shared" si="265"/>
        <v>0</v>
      </c>
    </row>
    <row r="864" spans="1:8">
      <c r="A864" s="1" t="s">
        <v>9</v>
      </c>
      <c r="B864" s="177" t="s">
        <v>51</v>
      </c>
      <c r="C864" s="7" t="s">
        <v>472</v>
      </c>
      <c r="D864" s="177"/>
      <c r="E864" s="178" t="s">
        <v>473</v>
      </c>
      <c r="F864" s="14">
        <f>F865</f>
        <v>1172</v>
      </c>
      <c r="G864" s="14">
        <f t="shared" ref="G864:H865" si="266">G865</f>
        <v>0</v>
      </c>
      <c r="H864" s="14">
        <f t="shared" si="266"/>
        <v>0</v>
      </c>
    </row>
    <row r="865" spans="1:8" ht="31.5">
      <c r="A865" s="1" t="s">
        <v>9</v>
      </c>
      <c r="B865" s="177" t="s">
        <v>51</v>
      </c>
      <c r="C865" s="7" t="s">
        <v>472</v>
      </c>
      <c r="D865" s="177" t="s">
        <v>97</v>
      </c>
      <c r="E865" s="178" t="s">
        <v>98</v>
      </c>
      <c r="F865" s="14">
        <f>F866</f>
        <v>1172</v>
      </c>
      <c r="G865" s="14">
        <f t="shared" si="266"/>
        <v>0</v>
      </c>
      <c r="H865" s="14">
        <f t="shared" si="266"/>
        <v>0</v>
      </c>
    </row>
    <row r="866" spans="1:8">
      <c r="A866" s="1" t="s">
        <v>9</v>
      </c>
      <c r="B866" s="177" t="s">
        <v>51</v>
      </c>
      <c r="C866" s="7" t="s">
        <v>472</v>
      </c>
      <c r="D866" s="177">
        <v>610</v>
      </c>
      <c r="E866" s="178" t="s">
        <v>104</v>
      </c>
      <c r="F866" s="14">
        <f>573+599</f>
        <v>1172</v>
      </c>
      <c r="G866" s="14">
        <v>0</v>
      </c>
      <c r="H866" s="14">
        <v>0</v>
      </c>
    </row>
    <row r="867" spans="1:8" ht="31.5">
      <c r="A867" s="1" t="s">
        <v>9</v>
      </c>
      <c r="B867" s="177" t="s">
        <v>51</v>
      </c>
      <c r="C867" s="7" t="s">
        <v>468</v>
      </c>
      <c r="D867" s="177"/>
      <c r="E867" s="178" t="s">
        <v>469</v>
      </c>
      <c r="F867" s="14">
        <f>F868</f>
        <v>777.1</v>
      </c>
      <c r="G867" s="14">
        <f t="shared" ref="G867:H868" si="267">G868</f>
        <v>0</v>
      </c>
      <c r="H867" s="14">
        <f t="shared" si="267"/>
        <v>0</v>
      </c>
    </row>
    <row r="868" spans="1:8" ht="31.5">
      <c r="A868" s="1" t="s">
        <v>9</v>
      </c>
      <c r="B868" s="177" t="s">
        <v>51</v>
      </c>
      <c r="C868" s="7" t="s">
        <v>468</v>
      </c>
      <c r="D868" s="177" t="s">
        <v>97</v>
      </c>
      <c r="E868" s="178" t="s">
        <v>98</v>
      </c>
      <c r="F868" s="14">
        <f>F869</f>
        <v>777.1</v>
      </c>
      <c r="G868" s="14">
        <f t="shared" si="267"/>
        <v>0</v>
      </c>
      <c r="H868" s="14">
        <f t="shared" si="267"/>
        <v>0</v>
      </c>
    </row>
    <row r="869" spans="1:8">
      <c r="A869" s="1" t="s">
        <v>9</v>
      </c>
      <c r="B869" s="177" t="s">
        <v>51</v>
      </c>
      <c r="C869" s="7" t="s">
        <v>468</v>
      </c>
      <c r="D869" s="177">
        <v>610</v>
      </c>
      <c r="E869" s="178" t="s">
        <v>104</v>
      </c>
      <c r="F869" s="14">
        <v>777.1</v>
      </c>
      <c r="G869" s="14">
        <v>0</v>
      </c>
      <c r="H869" s="14">
        <v>0</v>
      </c>
    </row>
    <row r="870" spans="1:8" ht="31.5">
      <c r="A870" s="1" t="s">
        <v>9</v>
      </c>
      <c r="B870" s="177" t="s">
        <v>51</v>
      </c>
      <c r="C870" s="177" t="s">
        <v>359</v>
      </c>
      <c r="D870" s="177"/>
      <c r="E870" s="52" t="s">
        <v>300</v>
      </c>
      <c r="F870" s="14">
        <f>F874+F871+F877</f>
        <v>32169.800000000003</v>
      </c>
      <c r="G870" s="14">
        <f t="shared" ref="G870:H870" si="268">G874+G871+G877</f>
        <v>32236.300000000003</v>
      </c>
      <c r="H870" s="14">
        <f t="shared" si="268"/>
        <v>32272.800000000003</v>
      </c>
    </row>
    <row r="871" spans="1:8" ht="63">
      <c r="A871" s="1" t="s">
        <v>9</v>
      </c>
      <c r="B871" s="177" t="s">
        <v>51</v>
      </c>
      <c r="C871" s="89" t="s">
        <v>418</v>
      </c>
      <c r="D871" s="177"/>
      <c r="E871" s="52" t="s">
        <v>417</v>
      </c>
      <c r="F871" s="14">
        <f>F872</f>
        <v>859.3</v>
      </c>
      <c r="G871" s="14">
        <f t="shared" ref="G871:H872" si="269">G872</f>
        <v>859.3</v>
      </c>
      <c r="H871" s="14">
        <f t="shared" si="269"/>
        <v>859.3</v>
      </c>
    </row>
    <row r="872" spans="1:8" ht="31.5">
      <c r="A872" s="1" t="s">
        <v>9</v>
      </c>
      <c r="B872" s="177" t="s">
        <v>51</v>
      </c>
      <c r="C872" s="89" t="s">
        <v>418</v>
      </c>
      <c r="D872" s="177" t="s">
        <v>97</v>
      </c>
      <c r="E872" s="178" t="s">
        <v>98</v>
      </c>
      <c r="F872" s="14">
        <f>F873</f>
        <v>859.3</v>
      </c>
      <c r="G872" s="14">
        <f t="shared" si="269"/>
        <v>859.3</v>
      </c>
      <c r="H872" s="14">
        <f t="shared" si="269"/>
        <v>859.3</v>
      </c>
    </row>
    <row r="873" spans="1:8">
      <c r="A873" s="1" t="s">
        <v>9</v>
      </c>
      <c r="B873" s="177" t="s">
        <v>51</v>
      </c>
      <c r="C873" s="89" t="s">
        <v>418</v>
      </c>
      <c r="D873" s="177">
        <v>610</v>
      </c>
      <c r="E873" s="178" t="s">
        <v>104</v>
      </c>
      <c r="F873" s="14">
        <v>859.3</v>
      </c>
      <c r="G873" s="14">
        <v>859.3</v>
      </c>
      <c r="H873" s="14">
        <v>859.3</v>
      </c>
    </row>
    <row r="874" spans="1:8" ht="63">
      <c r="A874" s="1" t="s">
        <v>9</v>
      </c>
      <c r="B874" s="177" t="s">
        <v>51</v>
      </c>
      <c r="C874" s="89" t="s">
        <v>360</v>
      </c>
      <c r="D874" s="177"/>
      <c r="E874" s="5" t="s">
        <v>275</v>
      </c>
      <c r="F874" s="14">
        <f>F875</f>
        <v>2874.8</v>
      </c>
      <c r="G874" s="14">
        <f t="shared" ref="G874:H875" si="270">G875</f>
        <v>2941.3</v>
      </c>
      <c r="H874" s="14">
        <f t="shared" si="270"/>
        <v>2977.8</v>
      </c>
    </row>
    <row r="875" spans="1:8" ht="31.5">
      <c r="A875" s="1" t="s">
        <v>9</v>
      </c>
      <c r="B875" s="177" t="s">
        <v>51</v>
      </c>
      <c r="C875" s="89" t="s">
        <v>360</v>
      </c>
      <c r="D875" s="177" t="s">
        <v>97</v>
      </c>
      <c r="E875" s="178" t="s">
        <v>98</v>
      </c>
      <c r="F875" s="14">
        <f>F876</f>
        <v>2874.8</v>
      </c>
      <c r="G875" s="14">
        <f t="shared" si="270"/>
        <v>2941.3</v>
      </c>
      <c r="H875" s="14">
        <f t="shared" si="270"/>
        <v>2977.8</v>
      </c>
    </row>
    <row r="876" spans="1:8">
      <c r="A876" s="1" t="s">
        <v>9</v>
      </c>
      <c r="B876" s="177" t="s">
        <v>51</v>
      </c>
      <c r="C876" s="89" t="s">
        <v>360</v>
      </c>
      <c r="D876" s="177">
        <v>610</v>
      </c>
      <c r="E876" s="178" t="s">
        <v>104</v>
      </c>
      <c r="F876" s="14">
        <v>2874.8</v>
      </c>
      <c r="G876" s="14">
        <v>2941.3</v>
      </c>
      <c r="H876" s="14">
        <v>2977.8</v>
      </c>
    </row>
    <row r="877" spans="1:8" ht="47.25">
      <c r="A877" s="1" t="s">
        <v>9</v>
      </c>
      <c r="B877" s="177" t="s">
        <v>51</v>
      </c>
      <c r="C877" s="89" t="s">
        <v>420</v>
      </c>
      <c r="D877" s="177"/>
      <c r="E877" s="33" t="s">
        <v>419</v>
      </c>
      <c r="F877" s="14">
        <f>F878</f>
        <v>28435.7</v>
      </c>
      <c r="G877" s="14">
        <f t="shared" ref="G877:H878" si="271">G878</f>
        <v>28435.7</v>
      </c>
      <c r="H877" s="14">
        <f t="shared" si="271"/>
        <v>28435.7</v>
      </c>
    </row>
    <row r="878" spans="1:8" ht="31.5">
      <c r="A878" s="1" t="s">
        <v>9</v>
      </c>
      <c r="B878" s="177" t="s">
        <v>51</v>
      </c>
      <c r="C878" s="89" t="s">
        <v>420</v>
      </c>
      <c r="D878" s="177" t="s">
        <v>97</v>
      </c>
      <c r="E878" s="178" t="s">
        <v>98</v>
      </c>
      <c r="F878" s="14">
        <f>F879</f>
        <v>28435.7</v>
      </c>
      <c r="G878" s="14">
        <f t="shared" si="271"/>
        <v>28435.7</v>
      </c>
      <c r="H878" s="14">
        <f t="shared" si="271"/>
        <v>28435.7</v>
      </c>
    </row>
    <row r="879" spans="1:8">
      <c r="A879" s="1" t="s">
        <v>9</v>
      </c>
      <c r="B879" s="177" t="s">
        <v>51</v>
      </c>
      <c r="C879" s="89" t="s">
        <v>420</v>
      </c>
      <c r="D879" s="177">
        <v>610</v>
      </c>
      <c r="E879" s="178" t="s">
        <v>104</v>
      </c>
      <c r="F879" s="14">
        <v>28435.7</v>
      </c>
      <c r="G879" s="14">
        <v>28435.7</v>
      </c>
      <c r="H879" s="14">
        <v>28435.7</v>
      </c>
    </row>
    <row r="880" spans="1:8">
      <c r="A880" s="177" t="s">
        <v>9</v>
      </c>
      <c r="B880" s="177" t="s">
        <v>51</v>
      </c>
      <c r="C880" s="177">
        <v>3120000000</v>
      </c>
      <c r="D880" s="177"/>
      <c r="E880" s="178" t="s">
        <v>121</v>
      </c>
      <c r="F880" s="14">
        <f>F881</f>
        <v>9026.9</v>
      </c>
      <c r="G880" s="14">
        <f t="shared" ref="G880:H883" si="272">G881</f>
        <v>8999.2000000000007</v>
      </c>
      <c r="H880" s="14">
        <f t="shared" si="272"/>
        <v>9038.7000000000007</v>
      </c>
    </row>
    <row r="881" spans="1:8" ht="47.25">
      <c r="A881" s="177" t="s">
        <v>9</v>
      </c>
      <c r="B881" s="177" t="s">
        <v>51</v>
      </c>
      <c r="C881" s="177">
        <v>3120100000</v>
      </c>
      <c r="D881" s="177"/>
      <c r="E881" s="178" t="s">
        <v>122</v>
      </c>
      <c r="F881" s="14">
        <f>F882+F885</f>
        <v>9026.9</v>
      </c>
      <c r="G881" s="14">
        <f t="shared" ref="G881:H881" si="273">G882+G885</f>
        <v>8999.2000000000007</v>
      </c>
      <c r="H881" s="14">
        <f t="shared" si="273"/>
        <v>9038.7000000000007</v>
      </c>
    </row>
    <row r="882" spans="1:8" ht="31.5">
      <c r="A882" s="177" t="s">
        <v>9</v>
      </c>
      <c r="B882" s="177" t="s">
        <v>51</v>
      </c>
      <c r="C882" s="177">
        <v>3120120010</v>
      </c>
      <c r="D882" s="177"/>
      <c r="E882" s="178" t="s">
        <v>123</v>
      </c>
      <c r="F882" s="14">
        <f>F883</f>
        <v>8961</v>
      </c>
      <c r="G882" s="14">
        <f t="shared" si="272"/>
        <v>8999.2000000000007</v>
      </c>
      <c r="H882" s="14">
        <f t="shared" si="272"/>
        <v>9038.7000000000007</v>
      </c>
    </row>
    <row r="883" spans="1:8" ht="31.5">
      <c r="A883" s="177" t="s">
        <v>9</v>
      </c>
      <c r="B883" s="177" t="s">
        <v>51</v>
      </c>
      <c r="C883" s="177">
        <v>3120120010</v>
      </c>
      <c r="D883" s="177" t="s">
        <v>97</v>
      </c>
      <c r="E883" s="178" t="s">
        <v>98</v>
      </c>
      <c r="F883" s="14">
        <f>F884</f>
        <v>8961</v>
      </c>
      <c r="G883" s="14">
        <f t="shared" si="272"/>
        <v>8999.2000000000007</v>
      </c>
      <c r="H883" s="14">
        <f t="shared" si="272"/>
        <v>9038.7000000000007</v>
      </c>
    </row>
    <row r="884" spans="1:8">
      <c r="A884" s="177" t="s">
        <v>9</v>
      </c>
      <c r="B884" s="177" t="s">
        <v>51</v>
      </c>
      <c r="C884" s="177">
        <v>3120120010</v>
      </c>
      <c r="D884" s="177">
        <v>610</v>
      </c>
      <c r="E884" s="178" t="s">
        <v>104</v>
      </c>
      <c r="F884" s="14">
        <f>8961.7-0.7</f>
        <v>8961</v>
      </c>
      <c r="G884" s="14">
        <v>8999.2000000000007</v>
      </c>
      <c r="H884" s="14">
        <v>9038.7000000000007</v>
      </c>
    </row>
    <row r="885" spans="1:8" ht="31.5">
      <c r="A885" s="177" t="s">
        <v>9</v>
      </c>
      <c r="B885" s="177" t="s">
        <v>51</v>
      </c>
      <c r="C885" s="7" t="s">
        <v>800</v>
      </c>
      <c r="D885" s="177"/>
      <c r="E885" s="33" t="s">
        <v>801</v>
      </c>
      <c r="F885" s="14">
        <f>F886</f>
        <v>65.900000000000006</v>
      </c>
      <c r="G885" s="14">
        <f t="shared" ref="G885:H886" si="274">G886</f>
        <v>0</v>
      </c>
      <c r="H885" s="14">
        <f t="shared" si="274"/>
        <v>0</v>
      </c>
    </row>
    <row r="886" spans="1:8" ht="31.5">
      <c r="A886" s="177" t="s">
        <v>9</v>
      </c>
      <c r="B886" s="177" t="s">
        <v>51</v>
      </c>
      <c r="C886" s="7" t="s">
        <v>800</v>
      </c>
      <c r="D886" s="177" t="s">
        <v>97</v>
      </c>
      <c r="E886" s="178" t="s">
        <v>98</v>
      </c>
      <c r="F886" s="14">
        <f>F887</f>
        <v>65.900000000000006</v>
      </c>
      <c r="G886" s="14">
        <f t="shared" si="274"/>
        <v>0</v>
      </c>
      <c r="H886" s="14">
        <f t="shared" si="274"/>
        <v>0</v>
      </c>
    </row>
    <row r="887" spans="1:8">
      <c r="A887" s="177" t="s">
        <v>9</v>
      </c>
      <c r="B887" s="177" t="s">
        <v>51</v>
      </c>
      <c r="C887" s="7" t="s">
        <v>800</v>
      </c>
      <c r="D887" s="177">
        <v>610</v>
      </c>
      <c r="E887" s="178" t="s">
        <v>104</v>
      </c>
      <c r="F887" s="14">
        <f>65.2+0.7</f>
        <v>65.900000000000006</v>
      </c>
      <c r="G887" s="14">
        <v>0</v>
      </c>
      <c r="H887" s="14">
        <v>0</v>
      </c>
    </row>
    <row r="888" spans="1:8" ht="31.5">
      <c r="A888" s="177" t="s">
        <v>9</v>
      </c>
      <c r="B888" s="177" t="s">
        <v>51</v>
      </c>
      <c r="C888" s="177">
        <v>3130000000</v>
      </c>
      <c r="D888" s="177"/>
      <c r="E888" s="178" t="s">
        <v>114</v>
      </c>
      <c r="F888" s="14">
        <f>F889+F896</f>
        <v>3759.7</v>
      </c>
      <c r="G888" s="14">
        <f>G889+G896</f>
        <v>600</v>
      </c>
      <c r="H888" s="14">
        <f>H889+H896</f>
        <v>600</v>
      </c>
    </row>
    <row r="889" spans="1:8" ht="31.5">
      <c r="A889" s="177" t="s">
        <v>9</v>
      </c>
      <c r="B889" s="177" t="s">
        <v>51</v>
      </c>
      <c r="C889" s="177">
        <v>3130100000</v>
      </c>
      <c r="D889" s="177"/>
      <c r="E889" s="178" t="s">
        <v>204</v>
      </c>
      <c r="F889" s="14">
        <f>F893+F890</f>
        <v>660</v>
      </c>
      <c r="G889" s="14">
        <f t="shared" ref="G889:H889" si="275">G893+G890</f>
        <v>600</v>
      </c>
      <c r="H889" s="14">
        <f t="shared" si="275"/>
        <v>600</v>
      </c>
    </row>
    <row r="890" spans="1:8" ht="31.5">
      <c r="A890" s="177" t="s">
        <v>9</v>
      </c>
      <c r="B890" s="177" t="s">
        <v>51</v>
      </c>
      <c r="C890" s="177">
        <v>3130121080</v>
      </c>
      <c r="D890" s="177"/>
      <c r="E890" s="178" t="s">
        <v>321</v>
      </c>
      <c r="F890" s="14">
        <f>F891</f>
        <v>60</v>
      </c>
      <c r="G890" s="14">
        <f t="shared" ref="G890:H891" si="276">G891</f>
        <v>0</v>
      </c>
      <c r="H890" s="14">
        <f t="shared" si="276"/>
        <v>0</v>
      </c>
    </row>
    <row r="891" spans="1:8" ht="31.5">
      <c r="A891" s="177" t="s">
        <v>9</v>
      </c>
      <c r="B891" s="177" t="s">
        <v>51</v>
      </c>
      <c r="C891" s="177">
        <v>3130121080</v>
      </c>
      <c r="D891" s="177" t="s">
        <v>97</v>
      </c>
      <c r="E891" s="178" t="s">
        <v>98</v>
      </c>
      <c r="F891" s="14">
        <f>F892</f>
        <v>60</v>
      </c>
      <c r="G891" s="14">
        <f t="shared" si="276"/>
        <v>0</v>
      </c>
      <c r="H891" s="14">
        <f t="shared" si="276"/>
        <v>0</v>
      </c>
    </row>
    <row r="892" spans="1:8">
      <c r="A892" s="177" t="s">
        <v>9</v>
      </c>
      <c r="B892" s="177" t="s">
        <v>51</v>
      </c>
      <c r="C892" s="177">
        <v>3130121080</v>
      </c>
      <c r="D892" s="177">
        <v>610</v>
      </c>
      <c r="E892" s="178" t="s">
        <v>104</v>
      </c>
      <c r="F892" s="14">
        <v>60</v>
      </c>
      <c r="G892" s="14">
        <v>0</v>
      </c>
      <c r="H892" s="14">
        <v>0</v>
      </c>
    </row>
    <row r="893" spans="1:8" ht="31.5">
      <c r="A893" s="177" t="s">
        <v>9</v>
      </c>
      <c r="B893" s="177" t="s">
        <v>51</v>
      </c>
      <c r="C893" s="177" t="s">
        <v>361</v>
      </c>
      <c r="D893" s="177"/>
      <c r="E893" s="178" t="s">
        <v>321</v>
      </c>
      <c r="F893" s="14">
        <f t="shared" ref="F893:H894" si="277">F894</f>
        <v>600</v>
      </c>
      <c r="G893" s="14">
        <f t="shared" si="277"/>
        <v>600</v>
      </c>
      <c r="H893" s="14">
        <f t="shared" si="277"/>
        <v>600</v>
      </c>
    </row>
    <row r="894" spans="1:8" ht="31.5">
      <c r="A894" s="177" t="s">
        <v>9</v>
      </c>
      <c r="B894" s="177" t="s">
        <v>51</v>
      </c>
      <c r="C894" s="177" t="s">
        <v>361</v>
      </c>
      <c r="D894" s="177" t="s">
        <v>97</v>
      </c>
      <c r="E894" s="178" t="s">
        <v>98</v>
      </c>
      <c r="F894" s="14">
        <f t="shared" si="277"/>
        <v>600</v>
      </c>
      <c r="G894" s="14">
        <f t="shared" si="277"/>
        <v>600</v>
      </c>
      <c r="H894" s="14">
        <f t="shared" si="277"/>
        <v>600</v>
      </c>
    </row>
    <row r="895" spans="1:8">
      <c r="A895" s="177" t="s">
        <v>9</v>
      </c>
      <c r="B895" s="177" t="s">
        <v>51</v>
      </c>
      <c r="C895" s="177" t="s">
        <v>361</v>
      </c>
      <c r="D895" s="177">
        <v>610</v>
      </c>
      <c r="E895" s="178" t="s">
        <v>104</v>
      </c>
      <c r="F895" s="14">
        <f>178.5+421.5</f>
        <v>600</v>
      </c>
      <c r="G895" s="14">
        <f>178.5+421.5</f>
        <v>600</v>
      </c>
      <c r="H895" s="14">
        <f>178.5+421.5</f>
        <v>600</v>
      </c>
    </row>
    <row r="896" spans="1:8" ht="47.25">
      <c r="A896" s="177" t="s">
        <v>9</v>
      </c>
      <c r="B896" s="177" t="s">
        <v>51</v>
      </c>
      <c r="C896" s="177">
        <v>3130300000</v>
      </c>
      <c r="D896" s="30"/>
      <c r="E896" s="178" t="s">
        <v>115</v>
      </c>
      <c r="F896" s="14">
        <f t="shared" ref="F896:H898" si="278">F897</f>
        <v>3099.7</v>
      </c>
      <c r="G896" s="14">
        <f t="shared" si="278"/>
        <v>0</v>
      </c>
      <c r="H896" s="14">
        <f t="shared" si="278"/>
        <v>0</v>
      </c>
    </row>
    <row r="897" spans="1:8" ht="31.5">
      <c r="A897" s="177" t="s">
        <v>9</v>
      </c>
      <c r="B897" s="177" t="s">
        <v>51</v>
      </c>
      <c r="C897" s="177">
        <v>3130320280</v>
      </c>
      <c r="D897" s="30"/>
      <c r="E897" s="178" t="s">
        <v>116</v>
      </c>
      <c r="F897" s="14">
        <f t="shared" si="278"/>
        <v>3099.7</v>
      </c>
      <c r="G897" s="14">
        <f t="shared" si="278"/>
        <v>0</v>
      </c>
      <c r="H897" s="14">
        <f t="shared" si="278"/>
        <v>0</v>
      </c>
    </row>
    <row r="898" spans="1:8" ht="31.5">
      <c r="A898" s="177" t="s">
        <v>9</v>
      </c>
      <c r="B898" s="177" t="s">
        <v>51</v>
      </c>
      <c r="C898" s="177">
        <v>3130320280</v>
      </c>
      <c r="D898" s="177" t="s">
        <v>97</v>
      </c>
      <c r="E898" s="178" t="s">
        <v>98</v>
      </c>
      <c r="F898" s="14">
        <f t="shared" si="278"/>
        <v>3099.7</v>
      </c>
      <c r="G898" s="14">
        <f t="shared" si="278"/>
        <v>0</v>
      </c>
      <c r="H898" s="14">
        <f t="shared" si="278"/>
        <v>0</v>
      </c>
    </row>
    <row r="899" spans="1:8">
      <c r="A899" s="177" t="s">
        <v>9</v>
      </c>
      <c r="B899" s="177" t="s">
        <v>51</v>
      </c>
      <c r="C899" s="177">
        <v>3130320280</v>
      </c>
      <c r="D899" s="177">
        <v>610</v>
      </c>
      <c r="E899" s="178" t="s">
        <v>104</v>
      </c>
      <c r="F899" s="14">
        <f>3732.7-633</f>
        <v>3099.7</v>
      </c>
      <c r="G899" s="14">
        <v>0</v>
      </c>
      <c r="H899" s="14">
        <v>0</v>
      </c>
    </row>
    <row r="900" spans="1:8" ht="31.5">
      <c r="A900" s="1" t="s">
        <v>9</v>
      </c>
      <c r="B900" s="177" t="s">
        <v>51</v>
      </c>
      <c r="C900" s="177">
        <v>3500000000</v>
      </c>
      <c r="D900" s="177"/>
      <c r="E900" s="30" t="s">
        <v>330</v>
      </c>
      <c r="F900" s="14">
        <f>F901</f>
        <v>4511.6000000000004</v>
      </c>
      <c r="G900" s="14">
        <f>G901</f>
        <v>3838</v>
      </c>
      <c r="H900" s="14">
        <f>H901</f>
        <v>3838</v>
      </c>
    </row>
    <row r="901" spans="1:8" ht="31.5">
      <c r="A901" s="1" t="s">
        <v>9</v>
      </c>
      <c r="B901" s="177" t="s">
        <v>51</v>
      </c>
      <c r="C901" s="177">
        <v>3520000000</v>
      </c>
      <c r="D901" s="177"/>
      <c r="E901" s="30" t="s">
        <v>224</v>
      </c>
      <c r="F901" s="14">
        <f>F902+F906+F910</f>
        <v>4511.6000000000004</v>
      </c>
      <c r="G901" s="14">
        <f t="shared" ref="G901:H901" si="279">G902+G906+G910</f>
        <v>3838</v>
      </c>
      <c r="H901" s="14">
        <f t="shared" si="279"/>
        <v>3838</v>
      </c>
    </row>
    <row r="902" spans="1:8" ht="31.5">
      <c r="A902" s="177" t="s">
        <v>9</v>
      </c>
      <c r="B902" s="177" t="s">
        <v>51</v>
      </c>
      <c r="C902" s="177">
        <v>3520300000</v>
      </c>
      <c r="D902" s="177"/>
      <c r="E902" s="30" t="s">
        <v>264</v>
      </c>
      <c r="F902" s="14">
        <f>F903</f>
        <v>1354.6000000000001</v>
      </c>
      <c r="G902" s="14">
        <f t="shared" ref="G902:H904" si="280">G903</f>
        <v>1322.7</v>
      </c>
      <c r="H902" s="14">
        <f t="shared" si="280"/>
        <v>1322.7</v>
      </c>
    </row>
    <row r="903" spans="1:8">
      <c r="A903" s="177" t="s">
        <v>9</v>
      </c>
      <c r="B903" s="177" t="s">
        <v>51</v>
      </c>
      <c r="C903" s="177">
        <v>3520320300</v>
      </c>
      <c r="D903" s="177"/>
      <c r="E903" s="30" t="s">
        <v>265</v>
      </c>
      <c r="F903" s="14">
        <f>F904</f>
        <v>1354.6000000000001</v>
      </c>
      <c r="G903" s="14">
        <f t="shared" si="280"/>
        <v>1322.7</v>
      </c>
      <c r="H903" s="14">
        <f t="shared" si="280"/>
        <v>1322.7</v>
      </c>
    </row>
    <row r="904" spans="1:8" ht="31.5">
      <c r="A904" s="1" t="s">
        <v>9</v>
      </c>
      <c r="B904" s="177" t="s">
        <v>51</v>
      </c>
      <c r="C904" s="177">
        <v>3520320300</v>
      </c>
      <c r="D904" s="177" t="s">
        <v>97</v>
      </c>
      <c r="E904" s="30" t="s">
        <v>98</v>
      </c>
      <c r="F904" s="14">
        <f>F905</f>
        <v>1354.6000000000001</v>
      </c>
      <c r="G904" s="14">
        <f t="shared" si="280"/>
        <v>1322.7</v>
      </c>
      <c r="H904" s="14">
        <f t="shared" si="280"/>
        <v>1322.7</v>
      </c>
    </row>
    <row r="905" spans="1:8">
      <c r="A905" s="1" t="s">
        <v>9</v>
      </c>
      <c r="B905" s="177" t="s">
        <v>51</v>
      </c>
      <c r="C905" s="177">
        <v>3520320300</v>
      </c>
      <c r="D905" s="177">
        <v>610</v>
      </c>
      <c r="E905" s="30" t="s">
        <v>104</v>
      </c>
      <c r="F905" s="14">
        <f>1322.7+31.9</f>
        <v>1354.6000000000001</v>
      </c>
      <c r="G905" s="14">
        <v>1322.7</v>
      </c>
      <c r="H905" s="14">
        <v>1322.7</v>
      </c>
    </row>
    <row r="906" spans="1:8" ht="31.5">
      <c r="A906" s="177" t="s">
        <v>9</v>
      </c>
      <c r="B906" s="177" t="s">
        <v>51</v>
      </c>
      <c r="C906" s="177">
        <v>3520400000</v>
      </c>
      <c r="D906" s="177"/>
      <c r="E906" s="178" t="s">
        <v>270</v>
      </c>
      <c r="F906" s="14">
        <f>F907</f>
        <v>1361.1000000000001</v>
      </c>
      <c r="G906" s="14">
        <f t="shared" ref="G906:H908" si="281">G907</f>
        <v>976.5</v>
      </c>
      <c r="H906" s="14">
        <f t="shared" si="281"/>
        <v>976.5</v>
      </c>
    </row>
    <row r="907" spans="1:8">
      <c r="A907" s="1" t="s">
        <v>9</v>
      </c>
      <c r="B907" s="177" t="s">
        <v>51</v>
      </c>
      <c r="C907" s="177">
        <v>3520420300</v>
      </c>
      <c r="D907" s="177"/>
      <c r="E907" s="178" t="s">
        <v>271</v>
      </c>
      <c r="F907" s="14">
        <f>F908</f>
        <v>1361.1000000000001</v>
      </c>
      <c r="G907" s="14">
        <f t="shared" si="281"/>
        <v>976.5</v>
      </c>
      <c r="H907" s="14">
        <f t="shared" si="281"/>
        <v>976.5</v>
      </c>
    </row>
    <row r="908" spans="1:8" ht="31.5">
      <c r="A908" s="1" t="s">
        <v>9</v>
      </c>
      <c r="B908" s="177" t="s">
        <v>51</v>
      </c>
      <c r="C908" s="177">
        <v>3520420300</v>
      </c>
      <c r="D908" s="177" t="s">
        <v>97</v>
      </c>
      <c r="E908" s="30" t="s">
        <v>98</v>
      </c>
      <c r="F908" s="14">
        <f>F909</f>
        <v>1361.1000000000001</v>
      </c>
      <c r="G908" s="14">
        <f t="shared" si="281"/>
        <v>976.5</v>
      </c>
      <c r="H908" s="14">
        <f t="shared" si="281"/>
        <v>976.5</v>
      </c>
    </row>
    <row r="909" spans="1:8">
      <c r="A909" s="177" t="s">
        <v>9</v>
      </c>
      <c r="B909" s="177" t="s">
        <v>51</v>
      </c>
      <c r="C909" s="177">
        <v>3520420300</v>
      </c>
      <c r="D909" s="177">
        <v>610</v>
      </c>
      <c r="E909" s="30" t="s">
        <v>104</v>
      </c>
      <c r="F909" s="14">
        <f>1381.2-20.1</f>
        <v>1361.1000000000001</v>
      </c>
      <c r="G909" s="14">
        <v>976.5</v>
      </c>
      <c r="H909" s="14">
        <v>976.5</v>
      </c>
    </row>
    <row r="910" spans="1:8" ht="31.5">
      <c r="A910" s="177" t="s">
        <v>9</v>
      </c>
      <c r="B910" s="177" t="s">
        <v>51</v>
      </c>
      <c r="C910" s="177">
        <v>3520500000</v>
      </c>
      <c r="D910" s="177"/>
      <c r="E910" s="178" t="s">
        <v>269</v>
      </c>
      <c r="F910" s="14">
        <f>F911</f>
        <v>1795.9</v>
      </c>
      <c r="G910" s="14">
        <f t="shared" ref="G910:H912" si="282">G911</f>
        <v>1538.8</v>
      </c>
      <c r="H910" s="14">
        <f t="shared" si="282"/>
        <v>1538.8</v>
      </c>
    </row>
    <row r="911" spans="1:8">
      <c r="A911" s="1" t="s">
        <v>9</v>
      </c>
      <c r="B911" s="177" t="s">
        <v>51</v>
      </c>
      <c r="C911" s="177">
        <v>3520520200</v>
      </c>
      <c r="D911" s="177"/>
      <c r="E911" s="178" t="s">
        <v>252</v>
      </c>
      <c r="F911" s="14">
        <f>F912</f>
        <v>1795.9</v>
      </c>
      <c r="G911" s="14">
        <f t="shared" si="282"/>
        <v>1538.8</v>
      </c>
      <c r="H911" s="14">
        <f t="shared" si="282"/>
        <v>1538.8</v>
      </c>
    </row>
    <row r="912" spans="1:8" ht="31.5">
      <c r="A912" s="1" t="s">
        <v>9</v>
      </c>
      <c r="B912" s="177" t="s">
        <v>51</v>
      </c>
      <c r="C912" s="177">
        <v>3520520200</v>
      </c>
      <c r="D912" s="177" t="s">
        <v>97</v>
      </c>
      <c r="E912" s="30" t="s">
        <v>98</v>
      </c>
      <c r="F912" s="14">
        <f>F913</f>
        <v>1795.9</v>
      </c>
      <c r="G912" s="14">
        <f t="shared" si="282"/>
        <v>1538.8</v>
      </c>
      <c r="H912" s="14">
        <f t="shared" si="282"/>
        <v>1538.8</v>
      </c>
    </row>
    <row r="913" spans="1:8">
      <c r="A913" s="1" t="s">
        <v>9</v>
      </c>
      <c r="B913" s="177" t="s">
        <v>51</v>
      </c>
      <c r="C913" s="177">
        <v>3520520200</v>
      </c>
      <c r="D913" s="177">
        <v>610</v>
      </c>
      <c r="E913" s="30" t="s">
        <v>104</v>
      </c>
      <c r="F913" s="14">
        <f>1807.7-11.8</f>
        <v>1795.9</v>
      </c>
      <c r="G913" s="14">
        <v>1538.8</v>
      </c>
      <c r="H913" s="14">
        <v>1538.8</v>
      </c>
    </row>
    <row r="914" spans="1:8">
      <c r="A914" s="1" t="s">
        <v>9</v>
      </c>
      <c r="B914" s="177" t="s">
        <v>51</v>
      </c>
      <c r="C914" s="177">
        <v>9900000000</v>
      </c>
      <c r="D914" s="177"/>
      <c r="E914" s="30" t="s">
        <v>105</v>
      </c>
      <c r="F914" s="14">
        <f>F915</f>
        <v>740</v>
      </c>
      <c r="G914" s="14">
        <f t="shared" ref="G914:H917" si="283">G915</f>
        <v>0</v>
      </c>
      <c r="H914" s="14">
        <f t="shared" si="283"/>
        <v>0</v>
      </c>
    </row>
    <row r="915" spans="1:8" ht="47.25">
      <c r="A915" s="1" t="s">
        <v>9</v>
      </c>
      <c r="B915" s="177" t="s">
        <v>51</v>
      </c>
      <c r="C915" s="177">
        <v>9920000000</v>
      </c>
      <c r="D915" s="177"/>
      <c r="E915" s="30" t="s">
        <v>430</v>
      </c>
      <c r="F915" s="14">
        <f>F916</f>
        <v>740</v>
      </c>
      <c r="G915" s="14">
        <f t="shared" si="283"/>
        <v>0</v>
      </c>
      <c r="H915" s="14">
        <f t="shared" si="283"/>
        <v>0</v>
      </c>
    </row>
    <row r="916" spans="1:8" ht="47.25">
      <c r="A916" s="177" t="s">
        <v>9</v>
      </c>
      <c r="B916" s="177" t="s">
        <v>51</v>
      </c>
      <c r="C916" s="177" t="s">
        <v>431</v>
      </c>
      <c r="D916" s="177"/>
      <c r="E916" s="30" t="s">
        <v>432</v>
      </c>
      <c r="F916" s="14">
        <f>F917</f>
        <v>740</v>
      </c>
      <c r="G916" s="14">
        <f t="shared" si="283"/>
        <v>0</v>
      </c>
      <c r="H916" s="14">
        <f t="shared" si="283"/>
        <v>0</v>
      </c>
    </row>
    <row r="917" spans="1:8" ht="31.5">
      <c r="A917" s="177" t="s">
        <v>9</v>
      </c>
      <c r="B917" s="177" t="s">
        <v>51</v>
      </c>
      <c r="C917" s="177" t="s">
        <v>431</v>
      </c>
      <c r="D917" s="177" t="s">
        <v>97</v>
      </c>
      <c r="E917" s="30" t="s">
        <v>98</v>
      </c>
      <c r="F917" s="14">
        <f>F918</f>
        <v>740</v>
      </c>
      <c r="G917" s="14">
        <f t="shared" si="283"/>
        <v>0</v>
      </c>
      <c r="H917" s="14">
        <f t="shared" si="283"/>
        <v>0</v>
      </c>
    </row>
    <row r="918" spans="1:8">
      <c r="A918" s="1" t="s">
        <v>9</v>
      </c>
      <c r="B918" s="177" t="s">
        <v>51</v>
      </c>
      <c r="C918" s="177" t="s">
        <v>431</v>
      </c>
      <c r="D918" s="177">
        <v>610</v>
      </c>
      <c r="E918" s="30" t="s">
        <v>104</v>
      </c>
      <c r="F918" s="14">
        <f>250+490</f>
        <v>740</v>
      </c>
      <c r="G918" s="14">
        <v>0</v>
      </c>
      <c r="H918" s="14">
        <v>0</v>
      </c>
    </row>
    <row r="919" spans="1:8">
      <c r="A919" s="177" t="s">
        <v>9</v>
      </c>
      <c r="B919" s="177" t="s">
        <v>90</v>
      </c>
      <c r="C919" s="177" t="s">
        <v>66</v>
      </c>
      <c r="D919" s="177" t="s">
        <v>66</v>
      </c>
      <c r="E919" s="178" t="s">
        <v>91</v>
      </c>
      <c r="F919" s="14">
        <f>F920+F939</f>
        <v>11825.300000000001</v>
      </c>
      <c r="G919" s="14">
        <f>G920+G939</f>
        <v>12960.099999999999</v>
      </c>
      <c r="H919" s="14">
        <f>H920+H939</f>
        <v>13031.2</v>
      </c>
    </row>
    <row r="920" spans="1:8" ht="47.25">
      <c r="A920" s="177" t="s">
        <v>9</v>
      </c>
      <c r="B920" s="177" t="s">
        <v>90</v>
      </c>
      <c r="C920" s="177">
        <v>3100000000</v>
      </c>
      <c r="D920" s="177"/>
      <c r="E920" s="178" t="s">
        <v>328</v>
      </c>
      <c r="F920" s="14">
        <f t="shared" ref="F920:H920" si="284">F921</f>
        <v>11742.000000000002</v>
      </c>
      <c r="G920" s="14">
        <f t="shared" si="284"/>
        <v>12863.599999999999</v>
      </c>
      <c r="H920" s="14">
        <f t="shared" si="284"/>
        <v>12934.7</v>
      </c>
    </row>
    <row r="921" spans="1:8">
      <c r="A921" s="177" t="s">
        <v>9</v>
      </c>
      <c r="B921" s="177" t="s">
        <v>90</v>
      </c>
      <c r="C921" s="177">
        <v>3120000000</v>
      </c>
      <c r="D921" s="177"/>
      <c r="E921" s="178" t="s">
        <v>121</v>
      </c>
      <c r="F921" s="14">
        <f>F922+F935</f>
        <v>11742.000000000002</v>
      </c>
      <c r="G921" s="14">
        <f>G922+G935</f>
        <v>12863.599999999999</v>
      </c>
      <c r="H921" s="14">
        <f>H922+H935</f>
        <v>12934.7</v>
      </c>
    </row>
    <row r="922" spans="1:8" ht="47.25">
      <c r="A922" s="1" t="s">
        <v>9</v>
      </c>
      <c r="B922" s="177" t="s">
        <v>90</v>
      </c>
      <c r="C922" s="177">
        <v>3120100000</v>
      </c>
      <c r="D922" s="177"/>
      <c r="E922" s="178" t="s">
        <v>122</v>
      </c>
      <c r="F922" s="14">
        <f>F923+F929+F926+F932</f>
        <v>11728.800000000001</v>
      </c>
      <c r="G922" s="14">
        <f t="shared" ref="G922:H922" si="285">G923+G929+G926+G932</f>
        <v>12863.599999999999</v>
      </c>
      <c r="H922" s="14">
        <f t="shared" si="285"/>
        <v>12934.7</v>
      </c>
    </row>
    <row r="923" spans="1:8" ht="31.5">
      <c r="A923" s="1" t="s">
        <v>9</v>
      </c>
      <c r="B923" s="177" t="s">
        <v>90</v>
      </c>
      <c r="C923" s="177">
        <v>3120120010</v>
      </c>
      <c r="D923" s="177"/>
      <c r="E923" s="178" t="s">
        <v>123</v>
      </c>
      <c r="F923" s="14">
        <f t="shared" ref="F923:H924" si="286">F924</f>
        <v>2896.6</v>
      </c>
      <c r="G923" s="14">
        <f t="shared" si="286"/>
        <v>4064.2999999999997</v>
      </c>
      <c r="H923" s="14">
        <f t="shared" si="286"/>
        <v>4135.4000000000005</v>
      </c>
    </row>
    <row r="924" spans="1:8" ht="31.5">
      <c r="A924" s="1" t="s">
        <v>9</v>
      </c>
      <c r="B924" s="177" t="s">
        <v>90</v>
      </c>
      <c r="C924" s="177">
        <v>3120120010</v>
      </c>
      <c r="D924" s="177" t="s">
        <v>97</v>
      </c>
      <c r="E924" s="178" t="s">
        <v>98</v>
      </c>
      <c r="F924" s="14">
        <f t="shared" si="286"/>
        <v>2896.6</v>
      </c>
      <c r="G924" s="14">
        <f t="shared" si="286"/>
        <v>4064.2999999999997</v>
      </c>
      <c r="H924" s="14">
        <f t="shared" si="286"/>
        <v>4135.4000000000005</v>
      </c>
    </row>
    <row r="925" spans="1:8">
      <c r="A925" s="177" t="s">
        <v>9</v>
      </c>
      <c r="B925" s="177" t="s">
        <v>90</v>
      </c>
      <c r="C925" s="177">
        <v>3120120010</v>
      </c>
      <c r="D925" s="177">
        <v>610</v>
      </c>
      <c r="E925" s="178" t="s">
        <v>104</v>
      </c>
      <c r="F925" s="14">
        <f>4654.3-657.4-0.3-1100</f>
        <v>2896.6</v>
      </c>
      <c r="G925" s="14">
        <f>4721.7-657.4</f>
        <v>4064.2999999999997</v>
      </c>
      <c r="H925" s="14">
        <f>4792.8-657.4</f>
        <v>4135.4000000000005</v>
      </c>
    </row>
    <row r="926" spans="1:8" ht="31.5">
      <c r="A926" s="1" t="s">
        <v>9</v>
      </c>
      <c r="B926" s="177" t="s">
        <v>90</v>
      </c>
      <c r="C926" s="177">
        <v>3120120020</v>
      </c>
      <c r="D926" s="177"/>
      <c r="E926" s="178" t="s">
        <v>273</v>
      </c>
      <c r="F926" s="14">
        <f t="shared" ref="F926:H927" si="287">F927</f>
        <v>1778.8000000000002</v>
      </c>
      <c r="G926" s="14">
        <f t="shared" si="287"/>
        <v>1778.8000000000002</v>
      </c>
      <c r="H926" s="14">
        <f t="shared" si="287"/>
        <v>1778.8000000000002</v>
      </c>
    </row>
    <row r="927" spans="1:8" ht="31.5">
      <c r="A927" s="1" t="s">
        <v>9</v>
      </c>
      <c r="B927" s="177" t="s">
        <v>90</v>
      </c>
      <c r="C927" s="177">
        <v>3120120020</v>
      </c>
      <c r="D927" s="177" t="s">
        <v>97</v>
      </c>
      <c r="E927" s="178" t="s">
        <v>98</v>
      </c>
      <c r="F927" s="14">
        <f t="shared" si="287"/>
        <v>1778.8000000000002</v>
      </c>
      <c r="G927" s="14">
        <f t="shared" si="287"/>
        <v>1778.8000000000002</v>
      </c>
      <c r="H927" s="14">
        <f t="shared" si="287"/>
        <v>1778.8000000000002</v>
      </c>
    </row>
    <row r="928" spans="1:8">
      <c r="A928" s="177" t="s">
        <v>9</v>
      </c>
      <c r="B928" s="177" t="s">
        <v>90</v>
      </c>
      <c r="C928" s="177">
        <v>3120120020</v>
      </c>
      <c r="D928" s="177">
        <v>610</v>
      </c>
      <c r="E928" s="178" t="s">
        <v>104</v>
      </c>
      <c r="F928" s="14">
        <f>1121.4+657.4</f>
        <v>1778.8000000000002</v>
      </c>
      <c r="G928" s="14">
        <f>1121.4+657.4</f>
        <v>1778.8000000000002</v>
      </c>
      <c r="H928" s="14">
        <f>1121.4+657.4</f>
        <v>1778.8000000000002</v>
      </c>
    </row>
    <row r="929" spans="1:8" ht="47.25">
      <c r="A929" s="177" t="s">
        <v>9</v>
      </c>
      <c r="B929" s="177" t="s">
        <v>90</v>
      </c>
      <c r="C929" s="177" t="s">
        <v>345</v>
      </c>
      <c r="D929" s="177"/>
      <c r="E929" s="30" t="s">
        <v>369</v>
      </c>
      <c r="F929" s="14">
        <f t="shared" ref="F929:H930" si="288">F930</f>
        <v>7020.5</v>
      </c>
      <c r="G929" s="14">
        <f t="shared" si="288"/>
        <v>7020.5</v>
      </c>
      <c r="H929" s="14">
        <f t="shared" si="288"/>
        <v>7020.5</v>
      </c>
    </row>
    <row r="930" spans="1:8" ht="31.5">
      <c r="A930" s="1" t="s">
        <v>9</v>
      </c>
      <c r="B930" s="177" t="s">
        <v>90</v>
      </c>
      <c r="C930" s="177" t="s">
        <v>345</v>
      </c>
      <c r="D930" s="177" t="s">
        <v>97</v>
      </c>
      <c r="E930" s="30" t="s">
        <v>98</v>
      </c>
      <c r="F930" s="14">
        <f t="shared" si="288"/>
        <v>7020.5</v>
      </c>
      <c r="G930" s="14">
        <f t="shared" si="288"/>
        <v>7020.5</v>
      </c>
      <c r="H930" s="14">
        <f t="shared" si="288"/>
        <v>7020.5</v>
      </c>
    </row>
    <row r="931" spans="1:8">
      <c r="A931" s="1" t="s">
        <v>9</v>
      </c>
      <c r="B931" s="177" t="s">
        <v>90</v>
      </c>
      <c r="C931" s="177" t="s">
        <v>345</v>
      </c>
      <c r="D931" s="177">
        <v>610</v>
      </c>
      <c r="E931" s="30" t="s">
        <v>104</v>
      </c>
      <c r="F931" s="14">
        <f>6950.3+70.2</f>
        <v>7020.5</v>
      </c>
      <c r="G931" s="14">
        <f>6950.3+70.2</f>
        <v>7020.5</v>
      </c>
      <c r="H931" s="14">
        <f>6950.3+70.2</f>
        <v>7020.5</v>
      </c>
    </row>
    <row r="932" spans="1:8" ht="31.5">
      <c r="A932" s="177" t="s">
        <v>9</v>
      </c>
      <c r="B932" s="177" t="s">
        <v>90</v>
      </c>
      <c r="C932" s="7" t="s">
        <v>800</v>
      </c>
      <c r="D932" s="177"/>
      <c r="E932" s="33" t="s">
        <v>801</v>
      </c>
      <c r="F932" s="14">
        <f>F933</f>
        <v>32.9</v>
      </c>
      <c r="G932" s="14">
        <f t="shared" ref="G932:H933" si="289">G933</f>
        <v>0</v>
      </c>
      <c r="H932" s="14">
        <f t="shared" si="289"/>
        <v>0</v>
      </c>
    </row>
    <row r="933" spans="1:8" ht="31.5">
      <c r="A933" s="177" t="s">
        <v>9</v>
      </c>
      <c r="B933" s="177" t="s">
        <v>90</v>
      </c>
      <c r="C933" s="7" t="s">
        <v>800</v>
      </c>
      <c r="D933" s="177" t="s">
        <v>97</v>
      </c>
      <c r="E933" s="178" t="s">
        <v>98</v>
      </c>
      <c r="F933" s="14">
        <f>F934</f>
        <v>32.9</v>
      </c>
      <c r="G933" s="14">
        <f t="shared" si="289"/>
        <v>0</v>
      </c>
      <c r="H933" s="14">
        <f t="shared" si="289"/>
        <v>0</v>
      </c>
    </row>
    <row r="934" spans="1:8">
      <c r="A934" s="177" t="s">
        <v>9</v>
      </c>
      <c r="B934" s="177" t="s">
        <v>90</v>
      </c>
      <c r="C934" s="7" t="s">
        <v>800</v>
      </c>
      <c r="D934" s="177">
        <v>610</v>
      </c>
      <c r="E934" s="178" t="s">
        <v>104</v>
      </c>
      <c r="F934" s="14">
        <f>32.6+0.3</f>
        <v>32.9</v>
      </c>
      <c r="G934" s="14">
        <v>0</v>
      </c>
      <c r="H934" s="14">
        <v>0</v>
      </c>
    </row>
    <row r="935" spans="1:8" ht="47.25">
      <c r="A935" s="177" t="s">
        <v>9</v>
      </c>
      <c r="B935" s="177" t="s">
        <v>90</v>
      </c>
      <c r="C935" s="177">
        <v>3120200000</v>
      </c>
      <c r="D935" s="177"/>
      <c r="E935" s="30" t="s">
        <v>474</v>
      </c>
      <c r="F935" s="14">
        <f>F936</f>
        <v>13.2</v>
      </c>
      <c r="G935" s="14">
        <f t="shared" ref="G935:H937" si="290">G936</f>
        <v>0</v>
      </c>
      <c r="H935" s="14">
        <f t="shared" si="290"/>
        <v>0</v>
      </c>
    </row>
    <row r="936" spans="1:8" ht="31.5">
      <c r="A936" s="1" t="s">
        <v>9</v>
      </c>
      <c r="B936" s="177" t="s">
        <v>90</v>
      </c>
      <c r="C936" s="177">
        <v>3120220020</v>
      </c>
      <c r="D936" s="177"/>
      <c r="E936" s="30" t="s">
        <v>282</v>
      </c>
      <c r="F936" s="14">
        <f>F937</f>
        <v>13.2</v>
      </c>
      <c r="G936" s="14">
        <f t="shared" si="290"/>
        <v>0</v>
      </c>
      <c r="H936" s="14">
        <f t="shared" si="290"/>
        <v>0</v>
      </c>
    </row>
    <row r="937" spans="1:8" ht="31.5">
      <c r="A937" s="1" t="s">
        <v>9</v>
      </c>
      <c r="B937" s="177" t="s">
        <v>90</v>
      </c>
      <c r="C937" s="177">
        <v>3120220020</v>
      </c>
      <c r="D937" s="177" t="s">
        <v>97</v>
      </c>
      <c r="E937" s="30" t="s">
        <v>98</v>
      </c>
      <c r="F937" s="14">
        <f>F938</f>
        <v>13.2</v>
      </c>
      <c r="G937" s="14">
        <f t="shared" si="290"/>
        <v>0</v>
      </c>
      <c r="H937" s="14">
        <f t="shared" si="290"/>
        <v>0</v>
      </c>
    </row>
    <row r="938" spans="1:8">
      <c r="A938" s="1" t="s">
        <v>9</v>
      </c>
      <c r="B938" s="177" t="s">
        <v>90</v>
      </c>
      <c r="C938" s="177">
        <v>3120220020</v>
      </c>
      <c r="D938" s="177">
        <v>610</v>
      </c>
      <c r="E938" s="30" t="s">
        <v>104</v>
      </c>
      <c r="F938" s="14">
        <v>13.2</v>
      </c>
      <c r="G938" s="14">
        <v>0</v>
      </c>
      <c r="H938" s="14">
        <v>0</v>
      </c>
    </row>
    <row r="939" spans="1:8" ht="31.5">
      <c r="A939" s="1" t="s">
        <v>9</v>
      </c>
      <c r="B939" s="177" t="s">
        <v>90</v>
      </c>
      <c r="C939" s="177">
        <v>3500000000</v>
      </c>
      <c r="D939" s="177"/>
      <c r="E939" s="30" t="s">
        <v>330</v>
      </c>
      <c r="F939" s="14">
        <f>F940</f>
        <v>83.300000000000011</v>
      </c>
      <c r="G939" s="14">
        <f t="shared" ref="G939:H943" si="291">G940</f>
        <v>96.5</v>
      </c>
      <c r="H939" s="14">
        <f t="shared" si="291"/>
        <v>96.5</v>
      </c>
    </row>
    <row r="940" spans="1:8" ht="31.5">
      <c r="A940" s="1" t="s">
        <v>9</v>
      </c>
      <c r="B940" s="177" t="s">
        <v>90</v>
      </c>
      <c r="C940" s="177">
        <v>3520000000</v>
      </c>
      <c r="D940" s="177"/>
      <c r="E940" s="30" t="s">
        <v>224</v>
      </c>
      <c r="F940" s="14">
        <f>F941+F945+F949</f>
        <v>83.300000000000011</v>
      </c>
      <c r="G940" s="14">
        <f>G941+G945+G949</f>
        <v>96.5</v>
      </c>
      <c r="H940" s="14">
        <f>H941+H945+H949</f>
        <v>96.5</v>
      </c>
    </row>
    <row r="941" spans="1:8" ht="31.5">
      <c r="A941" s="177" t="s">
        <v>9</v>
      </c>
      <c r="B941" s="177" t="s">
        <v>90</v>
      </c>
      <c r="C941" s="177">
        <v>3520300000</v>
      </c>
      <c r="D941" s="177"/>
      <c r="E941" s="30" t="s">
        <v>264</v>
      </c>
      <c r="F941" s="14">
        <f>F942</f>
        <v>11.2</v>
      </c>
      <c r="G941" s="14">
        <f t="shared" si="291"/>
        <v>8.1999999999999993</v>
      </c>
      <c r="H941" s="14">
        <f t="shared" si="291"/>
        <v>8.1999999999999993</v>
      </c>
    </row>
    <row r="942" spans="1:8">
      <c r="A942" s="177" t="s">
        <v>9</v>
      </c>
      <c r="B942" s="177" t="s">
        <v>90</v>
      </c>
      <c r="C942" s="177">
        <v>3520320300</v>
      </c>
      <c r="D942" s="177"/>
      <c r="E942" s="30" t="s">
        <v>265</v>
      </c>
      <c r="F942" s="14">
        <f>F943</f>
        <v>11.2</v>
      </c>
      <c r="G942" s="14">
        <f t="shared" si="291"/>
        <v>8.1999999999999993</v>
      </c>
      <c r="H942" s="14">
        <f t="shared" si="291"/>
        <v>8.1999999999999993</v>
      </c>
    </row>
    <row r="943" spans="1:8" ht="31.5">
      <c r="A943" s="1" t="s">
        <v>9</v>
      </c>
      <c r="B943" s="177" t="s">
        <v>90</v>
      </c>
      <c r="C943" s="177">
        <v>3520320300</v>
      </c>
      <c r="D943" s="177" t="s">
        <v>97</v>
      </c>
      <c r="E943" s="30" t="s">
        <v>98</v>
      </c>
      <c r="F943" s="14">
        <f>F944</f>
        <v>11.2</v>
      </c>
      <c r="G943" s="14">
        <f t="shared" si="291"/>
        <v>8.1999999999999993</v>
      </c>
      <c r="H943" s="14">
        <f t="shared" si="291"/>
        <v>8.1999999999999993</v>
      </c>
    </row>
    <row r="944" spans="1:8">
      <c r="A944" s="1" t="s">
        <v>9</v>
      </c>
      <c r="B944" s="177" t="s">
        <v>90</v>
      </c>
      <c r="C944" s="177">
        <v>3520320300</v>
      </c>
      <c r="D944" s="177">
        <v>610</v>
      </c>
      <c r="E944" s="30" t="s">
        <v>104</v>
      </c>
      <c r="F944" s="14">
        <f>8.2+3</f>
        <v>11.2</v>
      </c>
      <c r="G944" s="14">
        <v>8.1999999999999993</v>
      </c>
      <c r="H944" s="14">
        <v>8.1999999999999993</v>
      </c>
    </row>
    <row r="945" spans="1:8" ht="31.5">
      <c r="A945" s="1" t="s">
        <v>9</v>
      </c>
      <c r="B945" s="177" t="s">
        <v>90</v>
      </c>
      <c r="C945" s="177">
        <v>3520400000</v>
      </c>
      <c r="D945" s="177"/>
      <c r="E945" s="178" t="s">
        <v>270</v>
      </c>
      <c r="F945" s="14">
        <f>F946</f>
        <v>40.700000000000003</v>
      </c>
      <c r="G945" s="14">
        <f t="shared" ref="G945:H947" si="292">G946</f>
        <v>56.9</v>
      </c>
      <c r="H945" s="14">
        <f t="shared" si="292"/>
        <v>56.9</v>
      </c>
    </row>
    <row r="946" spans="1:8">
      <c r="A946" s="1" t="s">
        <v>9</v>
      </c>
      <c r="B946" s="177" t="s">
        <v>90</v>
      </c>
      <c r="C946" s="177">
        <v>3520420300</v>
      </c>
      <c r="D946" s="177"/>
      <c r="E946" s="178" t="s">
        <v>271</v>
      </c>
      <c r="F946" s="14">
        <f>F947</f>
        <v>40.700000000000003</v>
      </c>
      <c r="G946" s="14">
        <f t="shared" si="292"/>
        <v>56.9</v>
      </c>
      <c r="H946" s="14">
        <f t="shared" si="292"/>
        <v>56.9</v>
      </c>
    </row>
    <row r="947" spans="1:8" ht="31.5">
      <c r="A947" s="177" t="s">
        <v>9</v>
      </c>
      <c r="B947" s="177" t="s">
        <v>90</v>
      </c>
      <c r="C947" s="177">
        <v>3520420300</v>
      </c>
      <c r="D947" s="177" t="s">
        <v>97</v>
      </c>
      <c r="E947" s="30" t="s">
        <v>98</v>
      </c>
      <c r="F947" s="14">
        <f>F948</f>
        <v>40.700000000000003</v>
      </c>
      <c r="G947" s="14">
        <f t="shared" si="292"/>
        <v>56.9</v>
      </c>
      <c r="H947" s="14">
        <f t="shared" si="292"/>
        <v>56.9</v>
      </c>
    </row>
    <row r="948" spans="1:8">
      <c r="A948" s="177" t="s">
        <v>9</v>
      </c>
      <c r="B948" s="177" t="s">
        <v>90</v>
      </c>
      <c r="C948" s="177">
        <v>3520420300</v>
      </c>
      <c r="D948" s="177">
        <v>610</v>
      </c>
      <c r="E948" s="30" t="s">
        <v>104</v>
      </c>
      <c r="F948" s="14">
        <f>56.9-16.2</f>
        <v>40.700000000000003</v>
      </c>
      <c r="G948" s="14">
        <v>56.9</v>
      </c>
      <c r="H948" s="14">
        <v>56.9</v>
      </c>
    </row>
    <row r="949" spans="1:8" ht="31.5">
      <c r="A949" s="1" t="s">
        <v>9</v>
      </c>
      <c r="B949" s="177" t="s">
        <v>90</v>
      </c>
      <c r="C949" s="177">
        <v>3520500000</v>
      </c>
      <c r="D949" s="177"/>
      <c r="E949" s="178" t="s">
        <v>269</v>
      </c>
      <c r="F949" s="14">
        <f>F950</f>
        <v>31.4</v>
      </c>
      <c r="G949" s="14">
        <f t="shared" ref="G949:H951" si="293">G950</f>
        <v>31.4</v>
      </c>
      <c r="H949" s="14">
        <f t="shared" si="293"/>
        <v>31.4</v>
      </c>
    </row>
    <row r="950" spans="1:8">
      <c r="A950" s="1" t="s">
        <v>9</v>
      </c>
      <c r="B950" s="177" t="s">
        <v>90</v>
      </c>
      <c r="C950" s="177">
        <v>3520520200</v>
      </c>
      <c r="D950" s="177"/>
      <c r="E950" s="178" t="s">
        <v>252</v>
      </c>
      <c r="F950" s="14">
        <f>F951</f>
        <v>31.4</v>
      </c>
      <c r="G950" s="14">
        <f t="shared" si="293"/>
        <v>31.4</v>
      </c>
      <c r="H950" s="14">
        <f t="shared" si="293"/>
        <v>31.4</v>
      </c>
    </row>
    <row r="951" spans="1:8" ht="31.5">
      <c r="A951" s="1" t="s">
        <v>9</v>
      </c>
      <c r="B951" s="177" t="s">
        <v>90</v>
      </c>
      <c r="C951" s="177">
        <v>3520520200</v>
      </c>
      <c r="D951" s="177" t="s">
        <v>97</v>
      </c>
      <c r="E951" s="30" t="s">
        <v>98</v>
      </c>
      <c r="F951" s="14">
        <f>F952</f>
        <v>31.4</v>
      </c>
      <c r="G951" s="14">
        <f t="shared" si="293"/>
        <v>31.4</v>
      </c>
      <c r="H951" s="14">
        <f t="shared" si="293"/>
        <v>31.4</v>
      </c>
    </row>
    <row r="952" spans="1:8">
      <c r="A952" s="1" t="s">
        <v>9</v>
      </c>
      <c r="B952" s="177" t="s">
        <v>90</v>
      </c>
      <c r="C952" s="177">
        <v>3520520200</v>
      </c>
      <c r="D952" s="177">
        <v>610</v>
      </c>
      <c r="E952" s="30" t="s">
        <v>104</v>
      </c>
      <c r="F952" s="14">
        <v>31.4</v>
      </c>
      <c r="G952" s="14">
        <v>31.4</v>
      </c>
      <c r="H952" s="14">
        <v>31.4</v>
      </c>
    </row>
    <row r="953" spans="1:8">
      <c r="A953" s="177" t="s">
        <v>9</v>
      </c>
      <c r="B953" s="177" t="s">
        <v>52</v>
      </c>
      <c r="C953" s="177" t="s">
        <v>66</v>
      </c>
      <c r="D953" s="177" t="s">
        <v>66</v>
      </c>
      <c r="E953" s="178" t="s">
        <v>12</v>
      </c>
      <c r="F953" s="14">
        <f>F954+F971</f>
        <v>12402.2</v>
      </c>
      <c r="G953" s="14">
        <f>G954+G971</f>
        <v>12258</v>
      </c>
      <c r="H953" s="14">
        <f>H954+H971</f>
        <v>12258</v>
      </c>
    </row>
    <row r="954" spans="1:8" ht="47.25">
      <c r="A954" s="177" t="s">
        <v>9</v>
      </c>
      <c r="B954" s="177" t="s">
        <v>52</v>
      </c>
      <c r="C954" s="177">
        <v>3100000000</v>
      </c>
      <c r="D954" s="177"/>
      <c r="E954" s="178" t="s">
        <v>328</v>
      </c>
      <c r="F954" s="14">
        <f>F962+F955</f>
        <v>3646.5000000000005</v>
      </c>
      <c r="G954" s="14">
        <f>G962+G955</f>
        <v>3423.2000000000003</v>
      </c>
      <c r="H954" s="14">
        <f>H962+H955</f>
        <v>3423.2000000000003</v>
      </c>
    </row>
    <row r="955" spans="1:8">
      <c r="A955" s="177" t="s">
        <v>9</v>
      </c>
      <c r="B955" s="177" t="s">
        <v>52</v>
      </c>
      <c r="C955" s="177">
        <v>3110000000</v>
      </c>
      <c r="D955" s="177"/>
      <c r="E955" s="178" t="s">
        <v>163</v>
      </c>
      <c r="F955" s="14">
        <f>F956</f>
        <v>3423.2000000000003</v>
      </c>
      <c r="G955" s="14">
        <f>G956</f>
        <v>3423.2000000000003</v>
      </c>
      <c r="H955" s="14">
        <f>H956</f>
        <v>3423.2000000000003</v>
      </c>
    </row>
    <row r="956" spans="1:8" ht="24" customHeight="1">
      <c r="A956" s="177" t="s">
        <v>9</v>
      </c>
      <c r="B956" s="177" t="s">
        <v>52</v>
      </c>
      <c r="C956" s="177">
        <v>3110600000</v>
      </c>
      <c r="D956" s="177"/>
      <c r="E956" s="178" t="s">
        <v>166</v>
      </c>
      <c r="F956" s="14">
        <f>F957</f>
        <v>3423.2000000000003</v>
      </c>
      <c r="G956" s="14">
        <f t="shared" ref="G956:H956" si="294">G957</f>
        <v>3423.2000000000003</v>
      </c>
      <c r="H956" s="14">
        <f t="shared" si="294"/>
        <v>3423.2000000000003</v>
      </c>
    </row>
    <row r="957" spans="1:8">
      <c r="A957" s="177" t="s">
        <v>9</v>
      </c>
      <c r="B957" s="177" t="s">
        <v>52</v>
      </c>
      <c r="C957" s="177" t="s">
        <v>362</v>
      </c>
      <c r="D957" s="177"/>
      <c r="E957" s="30" t="s">
        <v>368</v>
      </c>
      <c r="F957" s="14">
        <f>F960+F958</f>
        <v>3423.2000000000003</v>
      </c>
      <c r="G957" s="14">
        <f t="shared" ref="G957:H957" si="295">G960+G958</f>
        <v>3423.2000000000003</v>
      </c>
      <c r="H957" s="14">
        <f t="shared" si="295"/>
        <v>3423.2000000000003</v>
      </c>
    </row>
    <row r="958" spans="1:8">
      <c r="A958" s="177" t="s">
        <v>9</v>
      </c>
      <c r="B958" s="177" t="s">
        <v>52</v>
      </c>
      <c r="C958" s="177" t="s">
        <v>362</v>
      </c>
      <c r="D958" s="1" t="s">
        <v>73</v>
      </c>
      <c r="E958" s="26" t="s">
        <v>74</v>
      </c>
      <c r="F958" s="14">
        <f>F959</f>
        <v>90.3</v>
      </c>
      <c r="G958" s="14">
        <f t="shared" ref="G958:H958" si="296">G959</f>
        <v>166</v>
      </c>
      <c r="H958" s="14">
        <f t="shared" si="296"/>
        <v>166</v>
      </c>
    </row>
    <row r="959" spans="1:8" ht="31.5">
      <c r="A959" s="177" t="s">
        <v>9</v>
      </c>
      <c r="B959" s="177" t="s">
        <v>52</v>
      </c>
      <c r="C959" s="177" t="s">
        <v>362</v>
      </c>
      <c r="D959" s="177">
        <v>320</v>
      </c>
      <c r="E959" s="178" t="s">
        <v>102</v>
      </c>
      <c r="F959" s="14">
        <f>166-75.7</f>
        <v>90.3</v>
      </c>
      <c r="G959" s="14">
        <v>166</v>
      </c>
      <c r="H959" s="14">
        <v>166</v>
      </c>
    </row>
    <row r="960" spans="1:8" ht="31.5">
      <c r="A960" s="177" t="s">
        <v>9</v>
      </c>
      <c r="B960" s="177" t="s">
        <v>52</v>
      </c>
      <c r="C960" s="177" t="s">
        <v>362</v>
      </c>
      <c r="D960" s="177" t="s">
        <v>97</v>
      </c>
      <c r="E960" s="178" t="s">
        <v>98</v>
      </c>
      <c r="F960" s="14">
        <f t="shared" ref="F960:H960" si="297">F961</f>
        <v>3332.9</v>
      </c>
      <c r="G960" s="14">
        <f t="shared" si="297"/>
        <v>3257.2000000000003</v>
      </c>
      <c r="H960" s="14">
        <f t="shared" si="297"/>
        <v>3257.2000000000003</v>
      </c>
    </row>
    <row r="961" spans="1:8">
      <c r="A961" s="177" t="s">
        <v>9</v>
      </c>
      <c r="B961" s="177" t="s">
        <v>52</v>
      </c>
      <c r="C961" s="177" t="s">
        <v>362</v>
      </c>
      <c r="D961" s="177">
        <v>610</v>
      </c>
      <c r="E961" s="178" t="s">
        <v>104</v>
      </c>
      <c r="F961" s="14">
        <f>2914.9+342.3+75.7</f>
        <v>3332.9</v>
      </c>
      <c r="G961" s="14">
        <f>2914.9+342.3</f>
        <v>3257.2000000000003</v>
      </c>
      <c r="H961" s="14">
        <f>2914.9+342.3</f>
        <v>3257.2000000000003</v>
      </c>
    </row>
    <row r="962" spans="1:8" ht="31.5">
      <c r="A962" s="177" t="s">
        <v>9</v>
      </c>
      <c r="B962" s="177" t="s">
        <v>52</v>
      </c>
      <c r="C962" s="177">
        <v>3130000000</v>
      </c>
      <c r="D962" s="30"/>
      <c r="E962" s="178" t="s">
        <v>114</v>
      </c>
      <c r="F962" s="14">
        <f>F967+F963</f>
        <v>223.3</v>
      </c>
      <c r="G962" s="14">
        <f>G967+G963</f>
        <v>0</v>
      </c>
      <c r="H962" s="14">
        <f>H967+H963</f>
        <v>0</v>
      </c>
    </row>
    <row r="963" spans="1:8" ht="31.5">
      <c r="A963" s="177" t="s">
        <v>9</v>
      </c>
      <c r="B963" s="177" t="s">
        <v>52</v>
      </c>
      <c r="C963" s="177">
        <v>3130100000</v>
      </c>
      <c r="D963" s="30"/>
      <c r="E963" s="178" t="s">
        <v>204</v>
      </c>
      <c r="F963" s="14">
        <f>F964</f>
        <v>125.8</v>
      </c>
      <c r="G963" s="14">
        <f t="shared" ref="G963:H965" si="298">G964</f>
        <v>0</v>
      </c>
      <c r="H963" s="14">
        <f t="shared" si="298"/>
        <v>0</v>
      </c>
    </row>
    <row r="964" spans="1:8" ht="31.5">
      <c r="A964" s="177" t="s">
        <v>9</v>
      </c>
      <c r="B964" s="177" t="s">
        <v>52</v>
      </c>
      <c r="C964" s="177">
        <v>3130120260</v>
      </c>
      <c r="D964" s="30"/>
      <c r="E964" s="178" t="s">
        <v>205</v>
      </c>
      <c r="F964" s="14">
        <f>F965</f>
        <v>125.8</v>
      </c>
      <c r="G964" s="14">
        <f t="shared" si="298"/>
        <v>0</v>
      </c>
      <c r="H964" s="14">
        <f t="shared" si="298"/>
        <v>0</v>
      </c>
    </row>
    <row r="965" spans="1:8" ht="31.5">
      <c r="A965" s="177" t="s">
        <v>9</v>
      </c>
      <c r="B965" s="177" t="s">
        <v>52</v>
      </c>
      <c r="C965" s="177">
        <v>3130120260</v>
      </c>
      <c r="D965" s="177" t="s">
        <v>69</v>
      </c>
      <c r="E965" s="178" t="s">
        <v>95</v>
      </c>
      <c r="F965" s="14">
        <f>F966</f>
        <v>125.8</v>
      </c>
      <c r="G965" s="14">
        <f t="shared" si="298"/>
        <v>0</v>
      </c>
      <c r="H965" s="14">
        <f t="shared" si="298"/>
        <v>0</v>
      </c>
    </row>
    <row r="966" spans="1:8" ht="31.5">
      <c r="A966" s="177" t="s">
        <v>9</v>
      </c>
      <c r="B966" s="177" t="s">
        <v>52</v>
      </c>
      <c r="C966" s="177">
        <v>3130120260</v>
      </c>
      <c r="D966" s="177">
        <v>240</v>
      </c>
      <c r="E966" s="178" t="s">
        <v>216</v>
      </c>
      <c r="F966" s="14">
        <v>125.8</v>
      </c>
      <c r="G966" s="14">
        <v>0</v>
      </c>
      <c r="H966" s="14">
        <v>0</v>
      </c>
    </row>
    <row r="967" spans="1:8" ht="31.5">
      <c r="A967" s="177" t="s">
        <v>9</v>
      </c>
      <c r="B967" s="177" t="s">
        <v>52</v>
      </c>
      <c r="C967" s="177">
        <v>3130200000</v>
      </c>
      <c r="D967" s="177"/>
      <c r="E967" s="178" t="s">
        <v>167</v>
      </c>
      <c r="F967" s="14">
        <f t="shared" ref="F967:H969" si="299">F968</f>
        <v>97.5</v>
      </c>
      <c r="G967" s="14">
        <f t="shared" si="299"/>
        <v>0</v>
      </c>
      <c r="H967" s="14">
        <f t="shared" si="299"/>
        <v>0</v>
      </c>
    </row>
    <row r="968" spans="1:8" ht="31.5">
      <c r="A968" s="177" t="s">
        <v>9</v>
      </c>
      <c r="B968" s="177" t="s">
        <v>52</v>
      </c>
      <c r="C968" s="177">
        <v>3130220270</v>
      </c>
      <c r="D968" s="177"/>
      <c r="E968" s="178" t="s">
        <v>168</v>
      </c>
      <c r="F968" s="14">
        <f t="shared" si="299"/>
        <v>97.5</v>
      </c>
      <c r="G968" s="14">
        <f t="shared" si="299"/>
        <v>0</v>
      </c>
      <c r="H968" s="14">
        <f t="shared" si="299"/>
        <v>0</v>
      </c>
    </row>
    <row r="969" spans="1:8" ht="31.5">
      <c r="A969" s="177" t="s">
        <v>9</v>
      </c>
      <c r="B969" s="177" t="s">
        <v>52</v>
      </c>
      <c r="C969" s="177">
        <v>3130220270</v>
      </c>
      <c r="D969" s="177" t="s">
        <v>69</v>
      </c>
      <c r="E969" s="178" t="s">
        <v>95</v>
      </c>
      <c r="F969" s="14">
        <f t="shared" si="299"/>
        <v>97.5</v>
      </c>
      <c r="G969" s="14">
        <f t="shared" si="299"/>
        <v>0</v>
      </c>
      <c r="H969" s="14">
        <f t="shared" si="299"/>
        <v>0</v>
      </c>
    </row>
    <row r="970" spans="1:8" ht="31.5">
      <c r="A970" s="177" t="s">
        <v>9</v>
      </c>
      <c r="B970" s="177" t="s">
        <v>52</v>
      </c>
      <c r="C970" s="177">
        <v>3130220270</v>
      </c>
      <c r="D970" s="177">
        <v>240</v>
      </c>
      <c r="E970" s="178" t="s">
        <v>216</v>
      </c>
      <c r="F970" s="14">
        <f>98.5-0.9-0.1</f>
        <v>97.5</v>
      </c>
      <c r="G970" s="14">
        <v>0</v>
      </c>
      <c r="H970" s="14">
        <v>0</v>
      </c>
    </row>
    <row r="971" spans="1:8">
      <c r="A971" s="177" t="s">
        <v>9</v>
      </c>
      <c r="B971" s="177" t="s">
        <v>52</v>
      </c>
      <c r="C971" s="177">
        <v>9900000000</v>
      </c>
      <c r="D971" s="177"/>
      <c r="E971" s="178" t="s">
        <v>105</v>
      </c>
      <c r="F971" s="14">
        <f t="shared" ref="F971:H972" si="300">F972</f>
        <v>8755.7000000000007</v>
      </c>
      <c r="G971" s="14">
        <f t="shared" si="300"/>
        <v>8834.7999999999993</v>
      </c>
      <c r="H971" s="14">
        <f t="shared" si="300"/>
        <v>8834.7999999999993</v>
      </c>
    </row>
    <row r="972" spans="1:8" ht="31.5">
      <c r="A972" s="177" t="s">
        <v>9</v>
      </c>
      <c r="B972" s="177" t="s">
        <v>52</v>
      </c>
      <c r="C972" s="177">
        <v>9990000000</v>
      </c>
      <c r="D972" s="177"/>
      <c r="E972" s="178" t="s">
        <v>145</v>
      </c>
      <c r="F972" s="14">
        <f t="shared" si="300"/>
        <v>8755.7000000000007</v>
      </c>
      <c r="G972" s="14">
        <f t="shared" si="300"/>
        <v>8834.7999999999993</v>
      </c>
      <c r="H972" s="14">
        <f t="shared" si="300"/>
        <v>8834.7999999999993</v>
      </c>
    </row>
    <row r="973" spans="1:8" ht="31.5">
      <c r="A973" s="177" t="s">
        <v>9</v>
      </c>
      <c r="B973" s="177" t="s">
        <v>52</v>
      </c>
      <c r="C973" s="177">
        <v>9990200000</v>
      </c>
      <c r="D973" s="30"/>
      <c r="E973" s="178" t="s">
        <v>117</v>
      </c>
      <c r="F973" s="14">
        <f>F974+F979</f>
        <v>8755.7000000000007</v>
      </c>
      <c r="G973" s="14">
        <f t="shared" ref="G973:H973" si="301">G974+G979</f>
        <v>8834.7999999999993</v>
      </c>
      <c r="H973" s="14">
        <f t="shared" si="301"/>
        <v>8834.7999999999993</v>
      </c>
    </row>
    <row r="974" spans="1:8" ht="47.25">
      <c r="A974" s="177" t="s">
        <v>9</v>
      </c>
      <c r="B974" s="177" t="s">
        <v>52</v>
      </c>
      <c r="C974" s="177">
        <v>9990225000</v>
      </c>
      <c r="D974" s="177"/>
      <c r="E974" s="178" t="s">
        <v>118</v>
      </c>
      <c r="F974" s="14">
        <f>F975+F977</f>
        <v>8621</v>
      </c>
      <c r="G974" s="14">
        <f>G975+G977</f>
        <v>8834.7999999999993</v>
      </c>
      <c r="H974" s="14">
        <f>H975+H977</f>
        <v>8834.7999999999993</v>
      </c>
    </row>
    <row r="975" spans="1:8" ht="63">
      <c r="A975" s="177" t="s">
        <v>9</v>
      </c>
      <c r="B975" s="177" t="s">
        <v>52</v>
      </c>
      <c r="C975" s="177">
        <v>9990225000</v>
      </c>
      <c r="D975" s="177" t="s">
        <v>68</v>
      </c>
      <c r="E975" s="178" t="s">
        <v>1</v>
      </c>
      <c r="F975" s="14">
        <f>F976</f>
        <v>8589.1</v>
      </c>
      <c r="G975" s="14">
        <f>G976</f>
        <v>8802.9</v>
      </c>
      <c r="H975" s="14">
        <f>H976</f>
        <v>8802.9</v>
      </c>
    </row>
    <row r="976" spans="1:8" ht="31.5">
      <c r="A976" s="177" t="s">
        <v>9</v>
      </c>
      <c r="B976" s="177" t="s">
        <v>52</v>
      </c>
      <c r="C976" s="177">
        <v>9990225000</v>
      </c>
      <c r="D976" s="177">
        <v>120</v>
      </c>
      <c r="E976" s="178" t="s">
        <v>217</v>
      </c>
      <c r="F976" s="14">
        <v>8589.1</v>
      </c>
      <c r="G976" s="14">
        <v>8802.9</v>
      </c>
      <c r="H976" s="14">
        <v>8802.9</v>
      </c>
    </row>
    <row r="977" spans="1:8">
      <c r="A977" s="177" t="s">
        <v>9</v>
      </c>
      <c r="B977" s="177" t="s">
        <v>52</v>
      </c>
      <c r="C977" s="177">
        <v>9990225000</v>
      </c>
      <c r="D977" s="177" t="s">
        <v>70</v>
      </c>
      <c r="E977" s="178" t="s">
        <v>71</v>
      </c>
      <c r="F977" s="14">
        <f>F978</f>
        <v>31.9</v>
      </c>
      <c r="G977" s="14">
        <f>G978</f>
        <v>31.9</v>
      </c>
      <c r="H977" s="14">
        <f>H978</f>
        <v>31.9</v>
      </c>
    </row>
    <row r="978" spans="1:8">
      <c r="A978" s="177" t="s">
        <v>9</v>
      </c>
      <c r="B978" s="177" t="s">
        <v>52</v>
      </c>
      <c r="C978" s="177">
        <v>9990225000</v>
      </c>
      <c r="D978" s="177">
        <v>850</v>
      </c>
      <c r="E978" s="178" t="s">
        <v>100</v>
      </c>
      <c r="F978" s="14">
        <v>31.9</v>
      </c>
      <c r="G978" s="14">
        <v>31.9</v>
      </c>
      <c r="H978" s="14">
        <v>31.9</v>
      </c>
    </row>
    <row r="979" spans="1:8" ht="47.25">
      <c r="A979" s="177" t="s">
        <v>9</v>
      </c>
      <c r="B979" s="177" t="s">
        <v>52</v>
      </c>
      <c r="C979" s="92">
        <v>9990255492</v>
      </c>
      <c r="D979" s="177"/>
      <c r="E979" s="178" t="s">
        <v>804</v>
      </c>
      <c r="F979" s="14">
        <f>F980</f>
        <v>134.69999999999999</v>
      </c>
      <c r="G979" s="14">
        <f t="shared" ref="G979:H980" si="302">G980</f>
        <v>0</v>
      </c>
      <c r="H979" s="14">
        <f t="shared" si="302"/>
        <v>0</v>
      </c>
    </row>
    <row r="980" spans="1:8" ht="63">
      <c r="A980" s="177" t="s">
        <v>9</v>
      </c>
      <c r="B980" s="177" t="s">
        <v>52</v>
      </c>
      <c r="C980" s="92">
        <v>9990255492</v>
      </c>
      <c r="D980" s="177" t="s">
        <v>68</v>
      </c>
      <c r="E980" s="178" t="s">
        <v>1</v>
      </c>
      <c r="F980" s="14">
        <f>F981</f>
        <v>134.69999999999999</v>
      </c>
      <c r="G980" s="14">
        <f t="shared" si="302"/>
        <v>0</v>
      </c>
      <c r="H980" s="14">
        <f t="shared" si="302"/>
        <v>0</v>
      </c>
    </row>
    <row r="981" spans="1:8" ht="31.5">
      <c r="A981" s="177" t="s">
        <v>9</v>
      </c>
      <c r="B981" s="177" t="s">
        <v>52</v>
      </c>
      <c r="C981" s="92">
        <v>9990255492</v>
      </c>
      <c r="D981" s="177">
        <v>120</v>
      </c>
      <c r="E981" s="178" t="s">
        <v>217</v>
      </c>
      <c r="F981" s="14">
        <v>134.69999999999999</v>
      </c>
      <c r="G981" s="14">
        <v>0</v>
      </c>
      <c r="H981" s="14">
        <v>0</v>
      </c>
    </row>
    <row r="982" spans="1:8">
      <c r="A982" s="177" t="s">
        <v>9</v>
      </c>
      <c r="B982" s="177" t="s">
        <v>39</v>
      </c>
      <c r="C982" s="177" t="s">
        <v>66</v>
      </c>
      <c r="D982" s="177" t="s">
        <v>66</v>
      </c>
      <c r="E982" s="178" t="s">
        <v>31</v>
      </c>
      <c r="F982" s="14">
        <f>F983</f>
        <v>13605.199999999999</v>
      </c>
      <c r="G982" s="14">
        <f t="shared" ref="G982:H986" si="303">G983</f>
        <v>13605.199999999999</v>
      </c>
      <c r="H982" s="14">
        <f t="shared" si="303"/>
        <v>13605.199999999999</v>
      </c>
    </row>
    <row r="983" spans="1:8">
      <c r="A983" s="177" t="s">
        <v>9</v>
      </c>
      <c r="B983" s="177" t="s">
        <v>84</v>
      </c>
      <c r="C983" s="177" t="s">
        <v>66</v>
      </c>
      <c r="D983" s="177" t="s">
        <v>66</v>
      </c>
      <c r="E983" s="178" t="s">
        <v>85</v>
      </c>
      <c r="F983" s="14">
        <f>F984</f>
        <v>13605.199999999999</v>
      </c>
      <c r="G983" s="14">
        <f t="shared" si="303"/>
        <v>13605.199999999999</v>
      </c>
      <c r="H983" s="14">
        <f t="shared" si="303"/>
        <v>13605.199999999999</v>
      </c>
    </row>
    <row r="984" spans="1:8" ht="47.25">
      <c r="A984" s="177" t="s">
        <v>9</v>
      </c>
      <c r="B984" s="177" t="s">
        <v>84</v>
      </c>
      <c r="C984" s="177">
        <v>3100000000</v>
      </c>
      <c r="D984" s="177"/>
      <c r="E984" s="178" t="s">
        <v>328</v>
      </c>
      <c r="F984" s="14">
        <f>F985</f>
        <v>13605.199999999999</v>
      </c>
      <c r="G984" s="14">
        <f t="shared" si="303"/>
        <v>13605.199999999999</v>
      </c>
      <c r="H984" s="14">
        <f t="shared" si="303"/>
        <v>13605.199999999999</v>
      </c>
    </row>
    <row r="985" spans="1:8">
      <c r="A985" s="177" t="s">
        <v>9</v>
      </c>
      <c r="B985" s="177" t="s">
        <v>84</v>
      </c>
      <c r="C985" s="177">
        <v>3110000000</v>
      </c>
      <c r="D985" s="177"/>
      <c r="E985" s="178" t="s">
        <v>163</v>
      </c>
      <c r="F985" s="14">
        <f>F986</f>
        <v>13605.199999999999</v>
      </c>
      <c r="G985" s="14">
        <f t="shared" si="303"/>
        <v>13605.199999999999</v>
      </c>
      <c r="H985" s="14">
        <f t="shared" si="303"/>
        <v>13605.199999999999</v>
      </c>
    </row>
    <row r="986" spans="1:8" ht="47.25">
      <c r="A986" s="177" t="s">
        <v>9</v>
      </c>
      <c r="B986" s="177" t="s">
        <v>84</v>
      </c>
      <c r="C986" s="177">
        <v>3110200000</v>
      </c>
      <c r="D986" s="177"/>
      <c r="E986" s="178" t="s">
        <v>169</v>
      </c>
      <c r="F986" s="14">
        <f>F987</f>
        <v>13605.199999999999</v>
      </c>
      <c r="G986" s="14">
        <f t="shared" si="303"/>
        <v>13605.199999999999</v>
      </c>
      <c r="H986" s="14">
        <f t="shared" si="303"/>
        <v>13605.199999999999</v>
      </c>
    </row>
    <row r="987" spans="1:8" ht="78.75">
      <c r="A987" s="177" t="s">
        <v>9</v>
      </c>
      <c r="B987" s="177" t="s">
        <v>84</v>
      </c>
      <c r="C987" s="177">
        <v>3110210500</v>
      </c>
      <c r="D987" s="177"/>
      <c r="E987" s="178" t="s">
        <v>213</v>
      </c>
      <c r="F987" s="14">
        <f>F988+F990</f>
        <v>13605.199999999999</v>
      </c>
      <c r="G987" s="14">
        <f>G988+G990</f>
        <v>13605.199999999999</v>
      </c>
      <c r="H987" s="14">
        <f>H988+H990</f>
        <v>13605.199999999999</v>
      </c>
    </row>
    <row r="988" spans="1:8" ht="31.5">
      <c r="A988" s="177" t="s">
        <v>9</v>
      </c>
      <c r="B988" s="177" t="s">
        <v>84</v>
      </c>
      <c r="C988" s="177">
        <v>3110210500</v>
      </c>
      <c r="D988" s="177" t="s">
        <v>69</v>
      </c>
      <c r="E988" s="178" t="s">
        <v>95</v>
      </c>
      <c r="F988" s="14">
        <f>F989</f>
        <v>331.8</v>
      </c>
      <c r="G988" s="14">
        <f>G989</f>
        <v>331.8</v>
      </c>
      <c r="H988" s="14">
        <f>H989</f>
        <v>331.8</v>
      </c>
    </row>
    <row r="989" spans="1:8" ht="31.5">
      <c r="A989" s="177" t="s">
        <v>9</v>
      </c>
      <c r="B989" s="177" t="s">
        <v>84</v>
      </c>
      <c r="C989" s="177">
        <v>3110210500</v>
      </c>
      <c r="D989" s="177">
        <v>240</v>
      </c>
      <c r="E989" s="178" t="s">
        <v>216</v>
      </c>
      <c r="F989" s="14">
        <v>331.8</v>
      </c>
      <c r="G989" s="14">
        <v>331.8</v>
      </c>
      <c r="H989" s="14">
        <v>331.8</v>
      </c>
    </row>
    <row r="990" spans="1:8">
      <c r="A990" s="177" t="s">
        <v>9</v>
      </c>
      <c r="B990" s="177" t="s">
        <v>84</v>
      </c>
      <c r="C990" s="177">
        <v>3110210500</v>
      </c>
      <c r="D990" s="177" t="s">
        <v>73</v>
      </c>
      <c r="E990" s="178" t="s">
        <v>74</v>
      </c>
      <c r="F990" s="14">
        <f>F991</f>
        <v>13273.4</v>
      </c>
      <c r="G990" s="14">
        <f>G991</f>
        <v>13273.4</v>
      </c>
      <c r="H990" s="14">
        <f>H991</f>
        <v>13273.4</v>
      </c>
    </row>
    <row r="991" spans="1:8" ht="31.5">
      <c r="A991" s="177" t="s">
        <v>9</v>
      </c>
      <c r="B991" s="177" t="s">
        <v>84</v>
      </c>
      <c r="C991" s="177">
        <v>3110210500</v>
      </c>
      <c r="D991" s="1" t="s">
        <v>101</v>
      </c>
      <c r="E991" s="26" t="s">
        <v>102</v>
      </c>
      <c r="F991" s="14">
        <v>13273.4</v>
      </c>
      <c r="G991" s="14">
        <v>13273.4</v>
      </c>
      <c r="H991" s="14">
        <v>13273.4</v>
      </c>
    </row>
    <row r="992" spans="1:8">
      <c r="A992" s="177" t="s">
        <v>9</v>
      </c>
      <c r="B992" s="177" t="s">
        <v>61</v>
      </c>
      <c r="C992" s="177" t="s">
        <v>66</v>
      </c>
      <c r="D992" s="177" t="s">
        <v>66</v>
      </c>
      <c r="E992" s="178" t="s">
        <v>30</v>
      </c>
      <c r="F992" s="14">
        <f t="shared" ref="F992:F998" si="304">F993</f>
        <v>3106.5</v>
      </c>
      <c r="G992" s="14">
        <f t="shared" ref="G992:H998" si="305">G993</f>
        <v>3144.1</v>
      </c>
      <c r="H992" s="14">
        <f t="shared" si="305"/>
        <v>3183.7</v>
      </c>
    </row>
    <row r="993" spans="1:8">
      <c r="A993" s="177" t="s">
        <v>9</v>
      </c>
      <c r="B993" s="177">
        <v>1103</v>
      </c>
      <c r="C993" s="177" t="s">
        <v>66</v>
      </c>
      <c r="D993" s="177" t="s">
        <v>66</v>
      </c>
      <c r="E993" s="178" t="s">
        <v>230</v>
      </c>
      <c r="F993" s="14">
        <f t="shared" si="304"/>
        <v>3106.5</v>
      </c>
      <c r="G993" s="14">
        <f t="shared" si="305"/>
        <v>3144.1</v>
      </c>
      <c r="H993" s="14">
        <f t="shared" si="305"/>
        <v>3183.7</v>
      </c>
    </row>
    <row r="994" spans="1:8" ht="47.25">
      <c r="A994" s="177" t="s">
        <v>9</v>
      </c>
      <c r="B994" s="177">
        <v>1103</v>
      </c>
      <c r="C994" s="177">
        <v>3100000000</v>
      </c>
      <c r="D994" s="177"/>
      <c r="E994" s="178" t="s">
        <v>328</v>
      </c>
      <c r="F994" s="14">
        <f t="shared" si="304"/>
        <v>3106.5</v>
      </c>
      <c r="G994" s="14">
        <f t="shared" si="305"/>
        <v>3144.1</v>
      </c>
      <c r="H994" s="14">
        <f t="shared" si="305"/>
        <v>3183.7</v>
      </c>
    </row>
    <row r="995" spans="1:8">
      <c r="A995" s="177" t="s">
        <v>9</v>
      </c>
      <c r="B995" s="177">
        <v>1103</v>
      </c>
      <c r="C995" s="177">
        <v>3120000000</v>
      </c>
      <c r="D995" s="177"/>
      <c r="E995" s="178" t="s">
        <v>121</v>
      </c>
      <c r="F995" s="14">
        <f t="shared" si="304"/>
        <v>3106.5</v>
      </c>
      <c r="G995" s="14">
        <f t="shared" si="305"/>
        <v>3144.1</v>
      </c>
      <c r="H995" s="14">
        <f t="shared" si="305"/>
        <v>3183.7</v>
      </c>
    </row>
    <row r="996" spans="1:8" ht="47.25">
      <c r="A996" s="177" t="s">
        <v>9</v>
      </c>
      <c r="B996" s="177">
        <v>1103</v>
      </c>
      <c r="C996" s="177">
        <v>3120100000</v>
      </c>
      <c r="D996" s="177"/>
      <c r="E996" s="178" t="s">
        <v>122</v>
      </c>
      <c r="F996" s="14">
        <f t="shared" si="304"/>
        <v>3106.5</v>
      </c>
      <c r="G996" s="14">
        <f t="shared" si="305"/>
        <v>3144.1</v>
      </c>
      <c r="H996" s="14">
        <f t="shared" si="305"/>
        <v>3183.7</v>
      </c>
    </row>
    <row r="997" spans="1:8" ht="31.5">
      <c r="A997" s="177" t="s">
        <v>9</v>
      </c>
      <c r="B997" s="177">
        <v>1103</v>
      </c>
      <c r="C997" s="177">
        <v>3120120030</v>
      </c>
      <c r="D997" s="177"/>
      <c r="E997" s="178" t="s">
        <v>370</v>
      </c>
      <c r="F997" s="14">
        <f t="shared" si="304"/>
        <v>3106.5</v>
      </c>
      <c r="G997" s="14">
        <f t="shared" si="305"/>
        <v>3144.1</v>
      </c>
      <c r="H997" s="14">
        <f t="shared" si="305"/>
        <v>3183.7</v>
      </c>
    </row>
    <row r="998" spans="1:8" ht="31.5">
      <c r="A998" s="177" t="s">
        <v>9</v>
      </c>
      <c r="B998" s="177">
        <v>1103</v>
      </c>
      <c r="C998" s="177">
        <v>3120120030</v>
      </c>
      <c r="D998" s="177" t="s">
        <v>97</v>
      </c>
      <c r="E998" s="178" t="s">
        <v>98</v>
      </c>
      <c r="F998" s="14">
        <f t="shared" si="304"/>
        <v>3106.5</v>
      </c>
      <c r="G998" s="14">
        <f t="shared" si="305"/>
        <v>3144.1</v>
      </c>
      <c r="H998" s="14">
        <f t="shared" si="305"/>
        <v>3183.7</v>
      </c>
    </row>
    <row r="999" spans="1:8">
      <c r="A999" s="177" t="s">
        <v>9</v>
      </c>
      <c r="B999" s="177">
        <v>1103</v>
      </c>
      <c r="C999" s="177">
        <v>3120120030</v>
      </c>
      <c r="D999" s="177">
        <v>610</v>
      </c>
      <c r="E999" s="178" t="s">
        <v>104</v>
      </c>
      <c r="F999" s="72">
        <v>3106.5</v>
      </c>
      <c r="G999" s="72">
        <v>3144.1</v>
      </c>
      <c r="H999" s="14">
        <v>3183.7</v>
      </c>
    </row>
  </sheetData>
  <autoFilter ref="A8:H991"/>
  <mergeCells count="11">
    <mergeCell ref="B1:H1"/>
    <mergeCell ref="A4:H4"/>
    <mergeCell ref="A5:A7"/>
    <mergeCell ref="B5:B7"/>
    <mergeCell ref="C5:C7"/>
    <mergeCell ref="D5:D7"/>
    <mergeCell ref="E5:E7"/>
    <mergeCell ref="F5:H5"/>
    <mergeCell ref="F6:F7"/>
    <mergeCell ref="G6:H6"/>
    <mergeCell ref="E2:H2"/>
  </mergeCells>
  <pageMargins left="0.78740157480314965" right="0.19685039370078741" top="0.19685039370078741" bottom="0.19685039370078741" header="0.31496062992125984" footer="0.31496062992125984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894"/>
  <sheetViews>
    <sheetView zoomScale="90" zoomScaleNormal="90" workbookViewId="0">
      <selection activeCell="D2" sqref="D2:G2"/>
    </sheetView>
  </sheetViews>
  <sheetFormatPr defaultColWidth="8.85546875" defaultRowHeight="15.75"/>
  <cols>
    <col min="1" max="1" width="7.7109375" style="128" customWidth="1"/>
    <col min="2" max="2" width="15" style="128" customWidth="1"/>
    <col min="3" max="3" width="5.5703125" style="128" customWidth="1"/>
    <col min="4" max="4" width="68.42578125" style="27" customWidth="1"/>
    <col min="5" max="5" width="12.42578125" style="129" customWidth="1"/>
    <col min="6" max="6" width="11.5703125" style="129" customWidth="1"/>
    <col min="7" max="7" width="11.7109375" style="129" customWidth="1"/>
    <col min="8" max="8" width="9.140625" style="18" bestFit="1" customWidth="1"/>
    <col min="9" max="9" width="14.28515625" style="114" bestFit="1" customWidth="1"/>
    <col min="10" max="11" width="12.28515625" style="114" customWidth="1"/>
    <col min="12" max="12" width="8.85546875" style="114"/>
    <col min="13" max="16384" width="8.85546875" style="18"/>
  </cols>
  <sheetData>
    <row r="1" spans="1:7" ht="56.45" customHeight="1">
      <c r="A1" s="292" t="s">
        <v>410</v>
      </c>
      <c r="B1" s="292"/>
      <c r="C1" s="292"/>
      <c r="D1" s="292"/>
      <c r="E1" s="292"/>
      <c r="F1" s="292"/>
      <c r="G1" s="292"/>
    </row>
    <row r="2" spans="1:7" ht="35.25" customHeight="1">
      <c r="A2" s="115"/>
      <c r="B2" s="115"/>
      <c r="C2" s="115"/>
      <c r="D2" s="288" t="s">
        <v>832</v>
      </c>
      <c r="E2" s="288"/>
      <c r="F2" s="288"/>
      <c r="G2" s="288"/>
    </row>
    <row r="3" spans="1:7" ht="22.5" customHeight="1">
      <c r="A3" s="115"/>
      <c r="B3" s="115"/>
      <c r="C3" s="115"/>
      <c r="D3" s="113"/>
      <c r="E3" s="113"/>
      <c r="F3" s="113"/>
      <c r="G3" s="113"/>
    </row>
    <row r="4" spans="1:7" ht="54" customHeight="1">
      <c r="A4" s="289" t="s">
        <v>327</v>
      </c>
      <c r="B4" s="289"/>
      <c r="C4" s="289"/>
      <c r="D4" s="289"/>
      <c r="E4" s="289"/>
      <c r="F4" s="289"/>
      <c r="G4" s="289"/>
    </row>
    <row r="5" spans="1:7">
      <c r="A5" s="293" t="s">
        <v>36</v>
      </c>
      <c r="B5" s="293" t="s">
        <v>16</v>
      </c>
      <c r="C5" s="293" t="s">
        <v>17</v>
      </c>
      <c r="D5" s="294" t="s">
        <v>18</v>
      </c>
      <c r="E5" s="293" t="s">
        <v>87</v>
      </c>
      <c r="F5" s="293"/>
      <c r="G5" s="293"/>
    </row>
    <row r="6" spans="1:7" ht="15.6" customHeight="1">
      <c r="A6" s="293" t="s">
        <v>66</v>
      </c>
      <c r="B6" s="293" t="s">
        <v>66</v>
      </c>
      <c r="C6" s="293" t="s">
        <v>66</v>
      </c>
      <c r="D6" s="294" t="s">
        <v>66</v>
      </c>
      <c r="E6" s="290" t="s">
        <v>278</v>
      </c>
      <c r="F6" s="290" t="s">
        <v>88</v>
      </c>
      <c r="G6" s="290"/>
    </row>
    <row r="7" spans="1:7">
      <c r="A7" s="293" t="s">
        <v>66</v>
      </c>
      <c r="B7" s="293" t="s">
        <v>66</v>
      </c>
      <c r="C7" s="293" t="s">
        <v>66</v>
      </c>
      <c r="D7" s="294" t="s">
        <v>66</v>
      </c>
      <c r="E7" s="290" t="s">
        <v>66</v>
      </c>
      <c r="F7" s="108" t="s">
        <v>291</v>
      </c>
      <c r="G7" s="108" t="s">
        <v>324</v>
      </c>
    </row>
    <row r="8" spans="1:7">
      <c r="A8" s="110" t="s">
        <v>3</v>
      </c>
      <c r="B8" s="110" t="s">
        <v>77</v>
      </c>
      <c r="C8" s="110">
        <v>3</v>
      </c>
      <c r="D8" s="110" t="s">
        <v>79</v>
      </c>
      <c r="E8" s="110" t="s">
        <v>80</v>
      </c>
      <c r="F8" s="110" t="s">
        <v>81</v>
      </c>
      <c r="G8" s="110" t="s">
        <v>93</v>
      </c>
    </row>
    <row r="9" spans="1:7">
      <c r="A9" s="116" t="s">
        <v>66</v>
      </c>
      <c r="B9" s="116" t="s">
        <v>66</v>
      </c>
      <c r="C9" s="116" t="s">
        <v>66</v>
      </c>
      <c r="D9" s="21" t="s">
        <v>0</v>
      </c>
      <c r="E9" s="117">
        <f>E10+E195+E219+E279+E427+E695+E750+E794+E884</f>
        <v>1837783.5999999999</v>
      </c>
      <c r="F9" s="117">
        <f t="shared" ref="F9:G9" si="0">F10+F195+F219+F279+F427+F695+F750+F794+F884</f>
        <v>1538973.9</v>
      </c>
      <c r="G9" s="117">
        <f t="shared" si="0"/>
        <v>1389112.9000000001</v>
      </c>
    </row>
    <row r="10" spans="1:7">
      <c r="A10" s="116" t="s">
        <v>54</v>
      </c>
      <c r="B10" s="116" t="s">
        <v>66</v>
      </c>
      <c r="C10" s="116" t="s">
        <v>66</v>
      </c>
      <c r="D10" s="13" t="s">
        <v>20</v>
      </c>
      <c r="E10" s="117">
        <f>E11+E17+E34+E49+E55+E80+E86+E93+E99</f>
        <v>132069.29999999999</v>
      </c>
      <c r="F10" s="117">
        <f>F11+F17+F34+F49+F55+F80+F86+F93+F99</f>
        <v>97859.4</v>
      </c>
      <c r="G10" s="117">
        <f>G11+G17+G34+G49+G55+G80+G86+G93+G99</f>
        <v>98737.699999999983</v>
      </c>
    </row>
    <row r="11" spans="1:7" ht="31.5">
      <c r="A11" s="110" t="s">
        <v>43</v>
      </c>
      <c r="B11" s="110" t="s">
        <v>66</v>
      </c>
      <c r="C11" s="110" t="s">
        <v>66</v>
      </c>
      <c r="D11" s="118" t="s">
        <v>59</v>
      </c>
      <c r="E11" s="119">
        <f>E12</f>
        <v>3150.3</v>
      </c>
      <c r="F11" s="119">
        <f t="shared" ref="F11:G15" si="1">F12</f>
        <v>2461.8000000000002</v>
      </c>
      <c r="G11" s="119">
        <f t="shared" si="1"/>
        <v>2461.8000000000002</v>
      </c>
    </row>
    <row r="12" spans="1:7">
      <c r="A12" s="108" t="s">
        <v>43</v>
      </c>
      <c r="B12" s="108">
        <v>9900000000</v>
      </c>
      <c r="C12" s="108"/>
      <c r="D12" s="107" t="s">
        <v>105</v>
      </c>
      <c r="E12" s="14">
        <f>E13</f>
        <v>3150.3</v>
      </c>
      <c r="F12" s="14">
        <f t="shared" si="1"/>
        <v>2461.8000000000002</v>
      </c>
      <c r="G12" s="14">
        <f t="shared" si="1"/>
        <v>2461.8000000000002</v>
      </c>
    </row>
    <row r="13" spans="1:7" ht="31.5">
      <c r="A13" s="108" t="s">
        <v>43</v>
      </c>
      <c r="B13" s="108">
        <v>9990000000</v>
      </c>
      <c r="C13" s="108"/>
      <c r="D13" s="107" t="s">
        <v>145</v>
      </c>
      <c r="E13" s="14">
        <f>E14</f>
        <v>3150.3</v>
      </c>
      <c r="F13" s="14">
        <f t="shared" si="1"/>
        <v>2461.8000000000002</v>
      </c>
      <c r="G13" s="14">
        <f t="shared" si="1"/>
        <v>2461.8000000000002</v>
      </c>
    </row>
    <row r="14" spans="1:7">
      <c r="A14" s="108" t="s">
        <v>43</v>
      </c>
      <c r="B14" s="108">
        <v>9990021000</v>
      </c>
      <c r="C14" s="30"/>
      <c r="D14" s="107" t="s">
        <v>146</v>
      </c>
      <c r="E14" s="14">
        <f>E15</f>
        <v>3150.3</v>
      </c>
      <c r="F14" s="14">
        <f t="shared" si="1"/>
        <v>2461.8000000000002</v>
      </c>
      <c r="G14" s="14">
        <f t="shared" si="1"/>
        <v>2461.8000000000002</v>
      </c>
    </row>
    <row r="15" spans="1:7" ht="63">
      <c r="A15" s="108" t="s">
        <v>43</v>
      </c>
      <c r="B15" s="108">
        <v>9990021000</v>
      </c>
      <c r="C15" s="108" t="s">
        <v>68</v>
      </c>
      <c r="D15" s="107" t="s">
        <v>1</v>
      </c>
      <c r="E15" s="14">
        <f>E16</f>
        <v>3150.3</v>
      </c>
      <c r="F15" s="14">
        <f t="shared" si="1"/>
        <v>2461.8000000000002</v>
      </c>
      <c r="G15" s="14">
        <f t="shared" si="1"/>
        <v>2461.8000000000002</v>
      </c>
    </row>
    <row r="16" spans="1:7" ht="31.5">
      <c r="A16" s="108" t="s">
        <v>43</v>
      </c>
      <c r="B16" s="108">
        <v>9990021000</v>
      </c>
      <c r="C16" s="108">
        <v>120</v>
      </c>
      <c r="D16" s="107" t="s">
        <v>217</v>
      </c>
      <c r="E16" s="14">
        <f>'№ 4 ведом'!F17</f>
        <v>3150.3</v>
      </c>
      <c r="F16" s="14">
        <f>'№ 4 ведом'!G17</f>
        <v>2461.8000000000002</v>
      </c>
      <c r="G16" s="14">
        <f>'№ 4 ведом'!H17</f>
        <v>2461.8000000000002</v>
      </c>
    </row>
    <row r="17" spans="1:7" ht="47.25">
      <c r="A17" s="110" t="s">
        <v>44</v>
      </c>
      <c r="B17" s="110" t="s">
        <v>66</v>
      </c>
      <c r="C17" s="110" t="s">
        <v>66</v>
      </c>
      <c r="D17" s="118" t="s">
        <v>21</v>
      </c>
      <c r="E17" s="119">
        <f>E18</f>
        <v>2694.5</v>
      </c>
      <c r="F17" s="119">
        <f t="shared" ref="F17:G17" si="2">F18</f>
        <v>2522.9</v>
      </c>
      <c r="G17" s="119">
        <f t="shared" si="2"/>
        <v>2522.9</v>
      </c>
    </row>
    <row r="18" spans="1:7">
      <c r="A18" s="108" t="s">
        <v>44</v>
      </c>
      <c r="B18" s="108" t="s">
        <v>110</v>
      </c>
      <c r="C18" s="108" t="s">
        <v>66</v>
      </c>
      <c r="D18" s="107" t="s">
        <v>105</v>
      </c>
      <c r="E18" s="14">
        <f>E19</f>
        <v>2694.5</v>
      </c>
      <c r="F18" s="14">
        <f t="shared" ref="F18:G19" si="3">F19</f>
        <v>2522.9</v>
      </c>
      <c r="G18" s="14">
        <f t="shared" si="3"/>
        <v>2522.9</v>
      </c>
    </row>
    <row r="19" spans="1:7" ht="31.5">
      <c r="A19" s="108" t="s">
        <v>44</v>
      </c>
      <c r="B19" s="108">
        <v>9990000000</v>
      </c>
      <c r="C19" s="108"/>
      <c r="D19" s="107" t="s">
        <v>145</v>
      </c>
      <c r="E19" s="14">
        <f>E20</f>
        <v>2694.5</v>
      </c>
      <c r="F19" s="14">
        <f t="shared" si="3"/>
        <v>2522.9</v>
      </c>
      <c r="G19" s="14">
        <f t="shared" si="3"/>
        <v>2522.9</v>
      </c>
    </row>
    <row r="20" spans="1:7" ht="31.5">
      <c r="A20" s="108" t="s">
        <v>44</v>
      </c>
      <c r="B20" s="108">
        <v>9990100000</v>
      </c>
      <c r="C20" s="108"/>
      <c r="D20" s="133" t="s">
        <v>161</v>
      </c>
      <c r="E20" s="14">
        <f>E21+E26+E31</f>
        <v>2694.5</v>
      </c>
      <c r="F20" s="14">
        <f t="shared" ref="F20:G20" si="4">F21+F26+F31</f>
        <v>2522.9</v>
      </c>
      <c r="G20" s="14">
        <f t="shared" si="4"/>
        <v>2522.9</v>
      </c>
    </row>
    <row r="21" spans="1:7" ht="31.5">
      <c r="A21" s="108" t="s">
        <v>44</v>
      </c>
      <c r="B21" s="108">
        <v>9990123000</v>
      </c>
      <c r="C21" s="108"/>
      <c r="D21" s="107" t="s">
        <v>162</v>
      </c>
      <c r="E21" s="14">
        <f>E22+E24</f>
        <v>1495.3000000000002</v>
      </c>
      <c r="F21" s="14">
        <f t="shared" ref="F21:G21" si="5">F22+F24</f>
        <v>0</v>
      </c>
      <c r="G21" s="14">
        <f t="shared" si="5"/>
        <v>0</v>
      </c>
    </row>
    <row r="22" spans="1:7" ht="63">
      <c r="A22" s="108" t="s">
        <v>44</v>
      </c>
      <c r="B22" s="108">
        <v>9990123000</v>
      </c>
      <c r="C22" s="108" t="s">
        <v>68</v>
      </c>
      <c r="D22" s="107" t="s">
        <v>1</v>
      </c>
      <c r="E22" s="14">
        <f>E23</f>
        <v>1286.9000000000001</v>
      </c>
      <c r="F22" s="14">
        <f t="shared" ref="F22:G22" si="6">F23</f>
        <v>0</v>
      </c>
      <c r="G22" s="14">
        <f t="shared" si="6"/>
        <v>0</v>
      </c>
    </row>
    <row r="23" spans="1:7" ht="31.5">
      <c r="A23" s="108" t="s">
        <v>44</v>
      </c>
      <c r="B23" s="108">
        <v>9990123000</v>
      </c>
      <c r="C23" s="108">
        <v>120</v>
      </c>
      <c r="D23" s="107" t="s">
        <v>217</v>
      </c>
      <c r="E23" s="14">
        <f>'№ 4 ведом'!F744</f>
        <v>1286.9000000000001</v>
      </c>
      <c r="F23" s="14">
        <f>'№ 4 ведом'!G744</f>
        <v>0</v>
      </c>
      <c r="G23" s="14">
        <f>'№ 4 ведом'!H744</f>
        <v>0</v>
      </c>
    </row>
    <row r="24" spans="1:7" ht="31.5">
      <c r="A24" s="108" t="s">
        <v>44</v>
      </c>
      <c r="B24" s="108">
        <v>9990123000</v>
      </c>
      <c r="C24" s="108" t="s">
        <v>69</v>
      </c>
      <c r="D24" s="107" t="s">
        <v>95</v>
      </c>
      <c r="E24" s="14">
        <f>E25</f>
        <v>208.39999999999998</v>
      </c>
      <c r="F24" s="14">
        <f t="shared" ref="F24:G24" si="7">F25</f>
        <v>0</v>
      </c>
      <c r="G24" s="14">
        <f t="shared" si="7"/>
        <v>0</v>
      </c>
    </row>
    <row r="25" spans="1:7" ht="31.5">
      <c r="A25" s="108" t="s">
        <v>44</v>
      </c>
      <c r="B25" s="108">
        <v>9990123000</v>
      </c>
      <c r="C25" s="108">
        <v>240</v>
      </c>
      <c r="D25" s="107" t="s">
        <v>216</v>
      </c>
      <c r="E25" s="14">
        <f>'№ 4 ведом'!F746</f>
        <v>208.39999999999998</v>
      </c>
      <c r="F25" s="14">
        <f>'№ 4 ведом'!G746</f>
        <v>0</v>
      </c>
      <c r="G25" s="14">
        <f>'№ 4 ведом'!H746</f>
        <v>0</v>
      </c>
    </row>
    <row r="26" spans="1:7" ht="31.5">
      <c r="A26" s="108" t="s">
        <v>44</v>
      </c>
      <c r="B26" s="108">
        <v>9990124000</v>
      </c>
      <c r="C26" s="108"/>
      <c r="D26" s="107" t="s">
        <v>479</v>
      </c>
      <c r="E26" s="14">
        <f>E27+E29</f>
        <v>1184.2</v>
      </c>
      <c r="F26" s="14">
        <f t="shared" ref="F26:G26" si="8">F27+F29</f>
        <v>2522.9</v>
      </c>
      <c r="G26" s="14">
        <f t="shared" si="8"/>
        <v>2522.9</v>
      </c>
    </row>
    <row r="27" spans="1:7" ht="63">
      <c r="A27" s="108" t="s">
        <v>44</v>
      </c>
      <c r="B27" s="108">
        <v>9990124000</v>
      </c>
      <c r="C27" s="108" t="s">
        <v>68</v>
      </c>
      <c r="D27" s="107" t="s">
        <v>1</v>
      </c>
      <c r="E27" s="14">
        <f>E28</f>
        <v>609.40000000000009</v>
      </c>
      <c r="F27" s="14">
        <f t="shared" ref="F27:G27" si="9">F28</f>
        <v>1907.5</v>
      </c>
      <c r="G27" s="14">
        <f t="shared" si="9"/>
        <v>1907.5</v>
      </c>
    </row>
    <row r="28" spans="1:7" ht="31.5">
      <c r="A28" s="108" t="s">
        <v>44</v>
      </c>
      <c r="B28" s="108">
        <v>9990124000</v>
      </c>
      <c r="C28" s="108">
        <v>120</v>
      </c>
      <c r="D28" s="107" t="s">
        <v>217</v>
      </c>
      <c r="E28" s="14">
        <f>'№ 4 ведом'!F764</f>
        <v>609.40000000000009</v>
      </c>
      <c r="F28" s="14">
        <f>'№ 4 ведом'!G764</f>
        <v>1907.5</v>
      </c>
      <c r="G28" s="14">
        <f>'№ 4 ведом'!H764</f>
        <v>1907.5</v>
      </c>
    </row>
    <row r="29" spans="1:7" ht="31.5">
      <c r="A29" s="108" t="s">
        <v>44</v>
      </c>
      <c r="B29" s="108">
        <v>9990124000</v>
      </c>
      <c r="C29" s="108" t="s">
        <v>69</v>
      </c>
      <c r="D29" s="107" t="s">
        <v>95</v>
      </c>
      <c r="E29" s="14">
        <f>E30</f>
        <v>574.79999999999995</v>
      </c>
      <c r="F29" s="14">
        <f t="shared" ref="F29:G29" si="10">F30</f>
        <v>615.4</v>
      </c>
      <c r="G29" s="14">
        <f t="shared" si="10"/>
        <v>615.4</v>
      </c>
    </row>
    <row r="30" spans="1:7" ht="31.5">
      <c r="A30" s="108" t="s">
        <v>44</v>
      </c>
      <c r="B30" s="108">
        <v>9990124000</v>
      </c>
      <c r="C30" s="108">
        <v>240</v>
      </c>
      <c r="D30" s="107" t="s">
        <v>216</v>
      </c>
      <c r="E30" s="14">
        <f>'№ 4 ведом'!F766</f>
        <v>574.79999999999995</v>
      </c>
      <c r="F30" s="14">
        <f>'№ 4 ведом'!G766</f>
        <v>615.4</v>
      </c>
      <c r="G30" s="14">
        <f>'№ 4 ведом'!H766</f>
        <v>615.4</v>
      </c>
    </row>
    <row r="31" spans="1:7" ht="47.25">
      <c r="A31" s="108" t="s">
        <v>44</v>
      </c>
      <c r="B31" s="92">
        <v>9990155492</v>
      </c>
      <c r="C31" s="108"/>
      <c r="D31" s="107" t="s">
        <v>804</v>
      </c>
      <c r="E31" s="14">
        <f>E32</f>
        <v>15</v>
      </c>
      <c r="F31" s="14">
        <f t="shared" ref="F31:G32" si="11">F32</f>
        <v>0</v>
      </c>
      <c r="G31" s="14">
        <f t="shared" si="11"/>
        <v>0</v>
      </c>
    </row>
    <row r="32" spans="1:7" ht="63">
      <c r="A32" s="108" t="s">
        <v>44</v>
      </c>
      <c r="B32" s="92">
        <v>9990155492</v>
      </c>
      <c r="C32" s="108" t="s">
        <v>68</v>
      </c>
      <c r="D32" s="107" t="s">
        <v>1</v>
      </c>
      <c r="E32" s="14">
        <f>E33</f>
        <v>15</v>
      </c>
      <c r="F32" s="14">
        <f t="shared" si="11"/>
        <v>0</v>
      </c>
      <c r="G32" s="14">
        <f t="shared" si="11"/>
        <v>0</v>
      </c>
    </row>
    <row r="33" spans="1:7" ht="31.5">
      <c r="A33" s="108" t="s">
        <v>44</v>
      </c>
      <c r="B33" s="92">
        <v>9990155492</v>
      </c>
      <c r="C33" s="108">
        <v>120</v>
      </c>
      <c r="D33" s="107" t="s">
        <v>217</v>
      </c>
      <c r="E33" s="14">
        <f>'№ 4 ведом'!F769</f>
        <v>15</v>
      </c>
      <c r="F33" s="14">
        <f>'№ 4 ведом'!G769</f>
        <v>0</v>
      </c>
      <c r="G33" s="14">
        <f>'№ 4 ведом'!H769</f>
        <v>0</v>
      </c>
    </row>
    <row r="34" spans="1:7" ht="47.25">
      <c r="A34" s="108" t="s">
        <v>45</v>
      </c>
      <c r="B34" s="108" t="s">
        <v>66</v>
      </c>
      <c r="C34" s="108" t="s">
        <v>66</v>
      </c>
      <c r="D34" s="107" t="s">
        <v>22</v>
      </c>
      <c r="E34" s="14">
        <f>E35</f>
        <v>38403.899999999994</v>
      </c>
      <c r="F34" s="14">
        <f t="shared" ref="F34:G36" si="12">F35</f>
        <v>35574.799999999996</v>
      </c>
      <c r="G34" s="14">
        <f t="shared" si="12"/>
        <v>35583.199999999997</v>
      </c>
    </row>
    <row r="35" spans="1:7">
      <c r="A35" s="108" t="s">
        <v>45</v>
      </c>
      <c r="B35" s="108">
        <v>9900000000</v>
      </c>
      <c r="C35" s="108"/>
      <c r="D35" s="107" t="s">
        <v>105</v>
      </c>
      <c r="E35" s="14">
        <f>E36</f>
        <v>38403.899999999994</v>
      </c>
      <c r="F35" s="14">
        <f t="shared" si="12"/>
        <v>35574.799999999996</v>
      </c>
      <c r="G35" s="14">
        <f t="shared" si="12"/>
        <v>35583.199999999997</v>
      </c>
    </row>
    <row r="36" spans="1:7" ht="31.5">
      <c r="A36" s="108" t="s">
        <v>45</v>
      </c>
      <c r="B36" s="108">
        <v>9990000000</v>
      </c>
      <c r="C36" s="108"/>
      <c r="D36" s="107" t="s">
        <v>145</v>
      </c>
      <c r="E36" s="14">
        <f>E37</f>
        <v>38403.899999999994</v>
      </c>
      <c r="F36" s="14">
        <f t="shared" si="12"/>
        <v>35574.799999999996</v>
      </c>
      <c r="G36" s="14">
        <f t="shared" si="12"/>
        <v>35583.199999999997</v>
      </c>
    </row>
    <row r="37" spans="1:7" ht="31.5">
      <c r="A37" s="108" t="s">
        <v>45</v>
      </c>
      <c r="B37" s="108">
        <v>9990200000</v>
      </c>
      <c r="C37" s="30"/>
      <c r="D37" s="107" t="s">
        <v>117</v>
      </c>
      <c r="E37" s="14">
        <f>E38+E41+E46</f>
        <v>38403.899999999994</v>
      </c>
      <c r="F37" s="14">
        <f t="shared" ref="F37:G37" si="13">F38+F41+F46</f>
        <v>35574.799999999996</v>
      </c>
      <c r="G37" s="14">
        <f t="shared" si="13"/>
        <v>35583.199999999997</v>
      </c>
    </row>
    <row r="38" spans="1:7" ht="63">
      <c r="A38" s="108" t="s">
        <v>45</v>
      </c>
      <c r="B38" s="108">
        <v>9990210510</v>
      </c>
      <c r="C38" s="108"/>
      <c r="D38" s="107" t="s">
        <v>147</v>
      </c>
      <c r="E38" s="14">
        <f>E39</f>
        <v>1287.5</v>
      </c>
      <c r="F38" s="14">
        <f t="shared" ref="F38:G39" si="14">F39</f>
        <v>1295.5</v>
      </c>
      <c r="G38" s="14">
        <f t="shared" si="14"/>
        <v>1303.9000000000001</v>
      </c>
    </row>
    <row r="39" spans="1:7" ht="63">
      <c r="A39" s="108" t="s">
        <v>45</v>
      </c>
      <c r="B39" s="108">
        <v>9990210510</v>
      </c>
      <c r="C39" s="108" t="s">
        <v>68</v>
      </c>
      <c r="D39" s="107" t="s">
        <v>1</v>
      </c>
      <c r="E39" s="14">
        <f>E40</f>
        <v>1287.5</v>
      </c>
      <c r="F39" s="14">
        <f t="shared" si="14"/>
        <v>1295.5</v>
      </c>
      <c r="G39" s="14">
        <f t="shared" si="14"/>
        <v>1303.9000000000001</v>
      </c>
    </row>
    <row r="40" spans="1:7" ht="31.5">
      <c r="A40" s="108" t="s">
        <v>45</v>
      </c>
      <c r="B40" s="108">
        <v>9990210510</v>
      </c>
      <c r="C40" s="108">
        <v>120</v>
      </c>
      <c r="D40" s="107" t="s">
        <v>217</v>
      </c>
      <c r="E40" s="14">
        <f>'№ 4 ведом'!F24</f>
        <v>1287.5</v>
      </c>
      <c r="F40" s="14">
        <f>'№ 4 ведом'!G24</f>
        <v>1295.5</v>
      </c>
      <c r="G40" s="14">
        <f>'№ 4 ведом'!H24</f>
        <v>1303.9000000000001</v>
      </c>
    </row>
    <row r="41" spans="1:7" ht="47.25">
      <c r="A41" s="108" t="s">
        <v>45</v>
      </c>
      <c r="B41" s="108">
        <v>9990225000</v>
      </c>
      <c r="C41" s="108"/>
      <c r="D41" s="107" t="s">
        <v>118</v>
      </c>
      <c r="E41" s="14">
        <f>E42+E44</f>
        <v>36727.399999999994</v>
      </c>
      <c r="F41" s="14">
        <f t="shared" ref="F41:G41" si="15">F42+F44</f>
        <v>34279.299999999996</v>
      </c>
      <c r="G41" s="14">
        <f t="shared" si="15"/>
        <v>34279.299999999996</v>
      </c>
    </row>
    <row r="42" spans="1:7" ht="63">
      <c r="A42" s="108" t="s">
        <v>45</v>
      </c>
      <c r="B42" s="108">
        <v>9990225000</v>
      </c>
      <c r="C42" s="108" t="s">
        <v>68</v>
      </c>
      <c r="D42" s="107" t="s">
        <v>1</v>
      </c>
      <c r="E42" s="14">
        <f>E43</f>
        <v>34214.199999999997</v>
      </c>
      <c r="F42" s="14">
        <f t="shared" ref="F42:G42" si="16">F43</f>
        <v>34175.699999999997</v>
      </c>
      <c r="G42" s="14">
        <f t="shared" si="16"/>
        <v>34175.699999999997</v>
      </c>
    </row>
    <row r="43" spans="1:7" ht="31.5">
      <c r="A43" s="108" t="s">
        <v>45</v>
      </c>
      <c r="B43" s="108">
        <v>9990225000</v>
      </c>
      <c r="C43" s="108">
        <v>120</v>
      </c>
      <c r="D43" s="107" t="s">
        <v>217</v>
      </c>
      <c r="E43" s="14">
        <f>'№ 4 ведом'!F27</f>
        <v>34214.199999999997</v>
      </c>
      <c r="F43" s="14">
        <f>'№ 4 ведом'!G27</f>
        <v>34175.699999999997</v>
      </c>
      <c r="G43" s="14">
        <f>'№ 4 ведом'!H27</f>
        <v>34175.699999999997</v>
      </c>
    </row>
    <row r="44" spans="1:7">
      <c r="A44" s="108" t="s">
        <v>45</v>
      </c>
      <c r="B44" s="108">
        <v>9990225000</v>
      </c>
      <c r="C44" s="108" t="s">
        <v>70</v>
      </c>
      <c r="D44" s="107" t="s">
        <v>71</v>
      </c>
      <c r="E44" s="14">
        <f>E45</f>
        <v>2513.1999999999998</v>
      </c>
      <c r="F44" s="14">
        <f t="shared" ref="F44:G44" si="17">F45</f>
        <v>103.6</v>
      </c>
      <c r="G44" s="14">
        <f t="shared" si="17"/>
        <v>103.6</v>
      </c>
    </row>
    <row r="45" spans="1:7">
      <c r="A45" s="108" t="s">
        <v>45</v>
      </c>
      <c r="B45" s="108">
        <v>9990225000</v>
      </c>
      <c r="C45" s="108">
        <v>850</v>
      </c>
      <c r="D45" s="107" t="s">
        <v>100</v>
      </c>
      <c r="E45" s="14">
        <f>'№ 4 ведом'!F29</f>
        <v>2513.1999999999998</v>
      </c>
      <c r="F45" s="14">
        <f>'№ 4 ведом'!G29</f>
        <v>103.6</v>
      </c>
      <c r="G45" s="14">
        <f>'№ 4 ведом'!H29</f>
        <v>103.6</v>
      </c>
    </row>
    <row r="46" spans="1:7" ht="47.25">
      <c r="A46" s="108" t="s">
        <v>45</v>
      </c>
      <c r="B46" s="92">
        <v>9990255492</v>
      </c>
      <c r="C46" s="108"/>
      <c r="D46" s="107" t="s">
        <v>804</v>
      </c>
      <c r="E46" s="14">
        <f>E47</f>
        <v>389</v>
      </c>
      <c r="F46" s="14">
        <f t="shared" ref="F46:G47" si="18">F47</f>
        <v>0</v>
      </c>
      <c r="G46" s="14">
        <f t="shared" si="18"/>
        <v>0</v>
      </c>
    </row>
    <row r="47" spans="1:7" ht="63">
      <c r="A47" s="108" t="s">
        <v>45</v>
      </c>
      <c r="B47" s="92">
        <v>9990255492</v>
      </c>
      <c r="C47" s="108" t="s">
        <v>68</v>
      </c>
      <c r="D47" s="107" t="s">
        <v>1</v>
      </c>
      <c r="E47" s="14">
        <f>E48</f>
        <v>389</v>
      </c>
      <c r="F47" s="14">
        <f t="shared" si="18"/>
        <v>0</v>
      </c>
      <c r="G47" s="14">
        <f t="shared" si="18"/>
        <v>0</v>
      </c>
    </row>
    <row r="48" spans="1:7" ht="31.5">
      <c r="A48" s="108" t="s">
        <v>45</v>
      </c>
      <c r="B48" s="92">
        <v>9990255492</v>
      </c>
      <c r="C48" s="108">
        <v>120</v>
      </c>
      <c r="D48" s="107" t="s">
        <v>217</v>
      </c>
      <c r="E48" s="14">
        <f>'№ 4 ведом'!F32</f>
        <v>389</v>
      </c>
      <c r="F48" s="14">
        <f>'№ 4 ведом'!G32</f>
        <v>0</v>
      </c>
      <c r="G48" s="14">
        <f>'№ 4 ведом'!H32</f>
        <v>0</v>
      </c>
    </row>
    <row r="49" spans="1:7">
      <c r="A49" s="6" t="s">
        <v>152</v>
      </c>
      <c r="B49" s="7"/>
      <c r="C49" s="8"/>
      <c r="D49" s="22" t="s">
        <v>153</v>
      </c>
      <c r="E49" s="14">
        <f>E50</f>
        <v>210.3</v>
      </c>
      <c r="F49" s="14">
        <f t="shared" ref="F49:G53" si="19">F50</f>
        <v>19.100000000000001</v>
      </c>
      <c r="G49" s="14">
        <f t="shared" si="19"/>
        <v>20.7</v>
      </c>
    </row>
    <row r="50" spans="1:7">
      <c r="A50" s="6" t="s">
        <v>152</v>
      </c>
      <c r="B50" s="108">
        <v>9900000000</v>
      </c>
      <c r="C50" s="108"/>
      <c r="D50" s="107" t="s">
        <v>105</v>
      </c>
      <c r="E50" s="14">
        <f>E51</f>
        <v>210.3</v>
      </c>
      <c r="F50" s="14">
        <f t="shared" si="19"/>
        <v>19.100000000000001</v>
      </c>
      <c r="G50" s="14">
        <f t="shared" si="19"/>
        <v>20.7</v>
      </c>
    </row>
    <row r="51" spans="1:7" ht="31.5">
      <c r="A51" s="6" t="s">
        <v>152</v>
      </c>
      <c r="B51" s="108">
        <v>9930000000</v>
      </c>
      <c r="C51" s="108"/>
      <c r="D51" s="107" t="s">
        <v>154</v>
      </c>
      <c r="E51" s="14">
        <f>E52</f>
        <v>210.3</v>
      </c>
      <c r="F51" s="14">
        <f t="shared" si="19"/>
        <v>19.100000000000001</v>
      </c>
      <c r="G51" s="14">
        <f t="shared" si="19"/>
        <v>20.7</v>
      </c>
    </row>
    <row r="52" spans="1:7" ht="47.25">
      <c r="A52" s="6" t="s">
        <v>152</v>
      </c>
      <c r="B52" s="108">
        <v>9930051200</v>
      </c>
      <c r="C52" s="108"/>
      <c r="D52" s="107" t="s">
        <v>155</v>
      </c>
      <c r="E52" s="14">
        <f>E53</f>
        <v>210.3</v>
      </c>
      <c r="F52" s="14">
        <f t="shared" si="19"/>
        <v>19.100000000000001</v>
      </c>
      <c r="G52" s="14">
        <f t="shared" si="19"/>
        <v>20.7</v>
      </c>
    </row>
    <row r="53" spans="1:7" ht="31.5">
      <c r="A53" s="6" t="s">
        <v>152</v>
      </c>
      <c r="B53" s="108">
        <v>9930051200</v>
      </c>
      <c r="C53" s="108" t="s">
        <v>69</v>
      </c>
      <c r="D53" s="107" t="s">
        <v>95</v>
      </c>
      <c r="E53" s="14">
        <f>E54</f>
        <v>210.3</v>
      </c>
      <c r="F53" s="14">
        <f t="shared" si="19"/>
        <v>19.100000000000001</v>
      </c>
      <c r="G53" s="14">
        <f t="shared" si="19"/>
        <v>20.7</v>
      </c>
    </row>
    <row r="54" spans="1:7" ht="31.5">
      <c r="A54" s="6" t="s">
        <v>152</v>
      </c>
      <c r="B54" s="108">
        <v>9930051200</v>
      </c>
      <c r="C54" s="108">
        <v>240</v>
      </c>
      <c r="D54" s="107" t="s">
        <v>216</v>
      </c>
      <c r="E54" s="14">
        <f>'№ 4 ведом'!F38</f>
        <v>210.3</v>
      </c>
      <c r="F54" s="14">
        <f>'№ 4 ведом'!G38</f>
        <v>19.100000000000001</v>
      </c>
      <c r="G54" s="14">
        <f>'№ 4 ведом'!H38</f>
        <v>20.7</v>
      </c>
    </row>
    <row r="55" spans="1:7" ht="31.5">
      <c r="A55" s="108" t="s">
        <v>46</v>
      </c>
      <c r="B55" s="108" t="s">
        <v>66</v>
      </c>
      <c r="C55" s="108" t="s">
        <v>66</v>
      </c>
      <c r="D55" s="107" t="s">
        <v>7</v>
      </c>
      <c r="E55" s="14">
        <f>E56</f>
        <v>14478.3</v>
      </c>
      <c r="F55" s="14">
        <f t="shared" ref="F55:G56" si="20">F56</f>
        <v>14196.7</v>
      </c>
      <c r="G55" s="14">
        <f t="shared" si="20"/>
        <v>14196.7</v>
      </c>
    </row>
    <row r="56" spans="1:7">
      <c r="A56" s="108" t="s">
        <v>46</v>
      </c>
      <c r="B56" s="108">
        <v>9900000000</v>
      </c>
      <c r="C56" s="108"/>
      <c r="D56" s="107" t="s">
        <v>105</v>
      </c>
      <c r="E56" s="14">
        <f>E57</f>
        <v>14478.3</v>
      </c>
      <c r="F56" s="14">
        <f t="shared" si="20"/>
        <v>14196.7</v>
      </c>
      <c r="G56" s="14">
        <f t="shared" si="20"/>
        <v>14196.7</v>
      </c>
    </row>
    <row r="57" spans="1:7" ht="31.5">
      <c r="A57" s="108" t="s">
        <v>46</v>
      </c>
      <c r="B57" s="108">
        <v>9990000000</v>
      </c>
      <c r="C57" s="108"/>
      <c r="D57" s="107" t="s">
        <v>145</v>
      </c>
      <c r="E57" s="14">
        <f>E58+E67</f>
        <v>14478.3</v>
      </c>
      <c r="F57" s="14">
        <f>F58+F67</f>
        <v>14196.7</v>
      </c>
      <c r="G57" s="14">
        <f>G58+G67</f>
        <v>14196.7</v>
      </c>
    </row>
    <row r="58" spans="1:7" ht="31.5">
      <c r="A58" s="108" t="s">
        <v>46</v>
      </c>
      <c r="B58" s="108">
        <v>9990200000</v>
      </c>
      <c r="C58" s="30"/>
      <c r="D58" s="107" t="s">
        <v>117</v>
      </c>
      <c r="E58" s="14">
        <f>E59+E64</f>
        <v>11609.6</v>
      </c>
      <c r="F58" s="14">
        <f t="shared" ref="F58:G58" si="21">F59+F64</f>
        <v>11343</v>
      </c>
      <c r="G58" s="14">
        <f t="shared" si="21"/>
        <v>11343</v>
      </c>
    </row>
    <row r="59" spans="1:7" ht="47.25">
      <c r="A59" s="108" t="s">
        <v>46</v>
      </c>
      <c r="B59" s="108">
        <v>9990225000</v>
      </c>
      <c r="C59" s="108"/>
      <c r="D59" s="107" t="s">
        <v>118</v>
      </c>
      <c r="E59" s="14">
        <f>E60+E62</f>
        <v>11445</v>
      </c>
      <c r="F59" s="14">
        <f t="shared" ref="F59:G59" si="22">F60+F62</f>
        <v>11343</v>
      </c>
      <c r="G59" s="14">
        <f t="shared" si="22"/>
        <v>11343</v>
      </c>
    </row>
    <row r="60" spans="1:7" ht="63">
      <c r="A60" s="108" t="s">
        <v>46</v>
      </c>
      <c r="B60" s="108">
        <v>9990225000</v>
      </c>
      <c r="C60" s="108" t="s">
        <v>68</v>
      </c>
      <c r="D60" s="107" t="s">
        <v>1</v>
      </c>
      <c r="E60" s="14">
        <f>E61</f>
        <v>11358.7</v>
      </c>
      <c r="F60" s="14">
        <f t="shared" ref="F60:G60" si="23">F61</f>
        <v>11256.7</v>
      </c>
      <c r="G60" s="14">
        <f t="shared" si="23"/>
        <v>11256.7</v>
      </c>
    </row>
    <row r="61" spans="1:7" ht="31.5">
      <c r="A61" s="108" t="s">
        <v>46</v>
      </c>
      <c r="B61" s="108">
        <v>9990225000</v>
      </c>
      <c r="C61" s="108">
        <v>120</v>
      </c>
      <c r="D61" s="107" t="s">
        <v>217</v>
      </c>
      <c r="E61" s="14">
        <f>'№ 4 ведом'!F654</f>
        <v>11358.7</v>
      </c>
      <c r="F61" s="14">
        <f>'№ 4 ведом'!G654</f>
        <v>11256.7</v>
      </c>
      <c r="G61" s="14">
        <f>'№ 4 ведом'!H654</f>
        <v>11256.7</v>
      </c>
    </row>
    <row r="62" spans="1:7">
      <c r="A62" s="108" t="s">
        <v>46</v>
      </c>
      <c r="B62" s="108">
        <v>9990225000</v>
      </c>
      <c r="C62" s="108" t="s">
        <v>70</v>
      </c>
      <c r="D62" s="107" t="s">
        <v>71</v>
      </c>
      <c r="E62" s="14">
        <f>E63</f>
        <v>86.3</v>
      </c>
      <c r="F62" s="14">
        <f t="shared" ref="F62:G62" si="24">F63</f>
        <v>86.3</v>
      </c>
      <c r="G62" s="14">
        <f t="shared" si="24"/>
        <v>86.3</v>
      </c>
    </row>
    <row r="63" spans="1:7">
      <c r="A63" s="108" t="s">
        <v>46</v>
      </c>
      <c r="B63" s="108">
        <v>9990225000</v>
      </c>
      <c r="C63" s="108">
        <v>850</v>
      </c>
      <c r="D63" s="107" t="s">
        <v>100</v>
      </c>
      <c r="E63" s="14">
        <f>'№ 4 ведом'!F656</f>
        <v>86.3</v>
      </c>
      <c r="F63" s="14">
        <f>'№ 4 ведом'!G656</f>
        <v>86.3</v>
      </c>
      <c r="G63" s="14">
        <f>'№ 4 ведом'!H656</f>
        <v>86.3</v>
      </c>
    </row>
    <row r="64" spans="1:7" ht="47.25">
      <c r="A64" s="108" t="s">
        <v>46</v>
      </c>
      <c r="B64" s="92">
        <v>9990255492</v>
      </c>
      <c r="C64" s="108"/>
      <c r="D64" s="107" t="s">
        <v>804</v>
      </c>
      <c r="E64" s="14">
        <f>E65</f>
        <v>164.6</v>
      </c>
      <c r="F64" s="14">
        <f t="shared" ref="F64:G65" si="25">F65</f>
        <v>0</v>
      </c>
      <c r="G64" s="14">
        <f t="shared" si="25"/>
        <v>0</v>
      </c>
    </row>
    <row r="65" spans="1:7" ht="63">
      <c r="A65" s="108" t="s">
        <v>46</v>
      </c>
      <c r="B65" s="92">
        <v>9990255492</v>
      </c>
      <c r="C65" s="108" t="s">
        <v>68</v>
      </c>
      <c r="D65" s="107" t="s">
        <v>1</v>
      </c>
      <c r="E65" s="14">
        <f>E66</f>
        <v>164.6</v>
      </c>
      <c r="F65" s="14">
        <f t="shared" si="25"/>
        <v>0</v>
      </c>
      <c r="G65" s="14">
        <f t="shared" si="25"/>
        <v>0</v>
      </c>
    </row>
    <row r="66" spans="1:7" ht="31.5">
      <c r="A66" s="108" t="s">
        <v>46</v>
      </c>
      <c r="B66" s="92">
        <v>9990255492</v>
      </c>
      <c r="C66" s="108">
        <v>120</v>
      </c>
      <c r="D66" s="107" t="s">
        <v>217</v>
      </c>
      <c r="E66" s="14">
        <f>'№ 4 ведом'!F659</f>
        <v>164.6</v>
      </c>
      <c r="F66" s="14">
        <f>'№ 4 ведом'!G659</f>
        <v>0</v>
      </c>
      <c r="G66" s="14">
        <f>'№ 4 ведом'!H659</f>
        <v>0</v>
      </c>
    </row>
    <row r="67" spans="1:7" ht="31.5">
      <c r="A67" s="108" t="s">
        <v>46</v>
      </c>
      <c r="B67" s="108">
        <v>9990400000</v>
      </c>
      <c r="C67" s="108"/>
      <c r="D67" s="52" t="s">
        <v>280</v>
      </c>
      <c r="E67" s="14">
        <f>E68+E71+E74+E77</f>
        <v>2868.7</v>
      </c>
      <c r="F67" s="14">
        <f t="shared" ref="F67:G67" si="26">F68+F71+F74+F77</f>
        <v>2853.7</v>
      </c>
      <c r="G67" s="14">
        <f t="shared" si="26"/>
        <v>2853.7</v>
      </c>
    </row>
    <row r="68" spans="1:7" ht="31.5">
      <c r="A68" s="108" t="s">
        <v>46</v>
      </c>
      <c r="B68" s="120">
        <v>9990426000</v>
      </c>
      <c r="C68" s="120"/>
      <c r="D68" s="33" t="s">
        <v>304</v>
      </c>
      <c r="E68" s="14">
        <f>E69</f>
        <v>727.3</v>
      </c>
      <c r="F68" s="14">
        <f t="shared" ref="F68:G69" si="27">F69</f>
        <v>0</v>
      </c>
      <c r="G68" s="14">
        <f t="shared" si="27"/>
        <v>0</v>
      </c>
    </row>
    <row r="69" spans="1:7" ht="63">
      <c r="A69" s="108" t="s">
        <v>46</v>
      </c>
      <c r="B69" s="108">
        <v>9990426000</v>
      </c>
      <c r="C69" s="108" t="s">
        <v>68</v>
      </c>
      <c r="D69" s="107" t="s">
        <v>1</v>
      </c>
      <c r="E69" s="14">
        <f>E70</f>
        <v>727.3</v>
      </c>
      <c r="F69" s="14">
        <f t="shared" si="27"/>
        <v>0</v>
      </c>
      <c r="G69" s="14">
        <f t="shared" si="27"/>
        <v>0</v>
      </c>
    </row>
    <row r="70" spans="1:7" ht="31.5">
      <c r="A70" s="108" t="s">
        <v>46</v>
      </c>
      <c r="B70" s="108">
        <v>9990426000</v>
      </c>
      <c r="C70" s="108">
        <v>120</v>
      </c>
      <c r="D70" s="107" t="s">
        <v>217</v>
      </c>
      <c r="E70" s="14">
        <f>'№ 4 ведом'!F755</f>
        <v>727.3</v>
      </c>
      <c r="F70" s="14">
        <f>'№ 4 ведом'!G755</f>
        <v>0</v>
      </c>
      <c r="G70" s="14">
        <f>'№ 4 ведом'!H755</f>
        <v>0</v>
      </c>
    </row>
    <row r="71" spans="1:7">
      <c r="A71" s="108" t="s">
        <v>46</v>
      </c>
      <c r="B71" s="108">
        <v>9990427000</v>
      </c>
      <c r="C71" s="108"/>
      <c r="D71" s="52" t="s">
        <v>796</v>
      </c>
      <c r="E71" s="14">
        <f>E72</f>
        <v>1694.1</v>
      </c>
      <c r="F71" s="14">
        <f t="shared" ref="F71:G72" si="28">F72</f>
        <v>1694.1</v>
      </c>
      <c r="G71" s="14">
        <f t="shared" si="28"/>
        <v>1694.1</v>
      </c>
    </row>
    <row r="72" spans="1:7" ht="63">
      <c r="A72" s="108" t="s">
        <v>46</v>
      </c>
      <c r="B72" s="108">
        <v>9990427000</v>
      </c>
      <c r="C72" s="108" t="s">
        <v>68</v>
      </c>
      <c r="D72" s="107" t="s">
        <v>1</v>
      </c>
      <c r="E72" s="14">
        <f>E73</f>
        <v>1694.1</v>
      </c>
      <c r="F72" s="14">
        <f t="shared" si="28"/>
        <v>1694.1</v>
      </c>
      <c r="G72" s="14">
        <f t="shared" si="28"/>
        <v>1694.1</v>
      </c>
    </row>
    <row r="73" spans="1:7" ht="31.5">
      <c r="A73" s="108" t="s">
        <v>46</v>
      </c>
      <c r="B73" s="108">
        <v>9990427000</v>
      </c>
      <c r="C73" s="108">
        <v>120</v>
      </c>
      <c r="D73" s="107" t="s">
        <v>217</v>
      </c>
      <c r="E73" s="14">
        <f>'№ 4 ведом'!F778</f>
        <v>1694.1</v>
      </c>
      <c r="F73" s="14">
        <f>'№ 4 ведом'!G778</f>
        <v>1694.1</v>
      </c>
      <c r="G73" s="14">
        <f>'№ 4 ведом'!H778</f>
        <v>1694.1</v>
      </c>
    </row>
    <row r="74" spans="1:7" ht="31.5">
      <c r="A74" s="108" t="s">
        <v>46</v>
      </c>
      <c r="B74" s="108">
        <v>9990428000</v>
      </c>
      <c r="C74" s="108"/>
      <c r="D74" s="33" t="s">
        <v>797</v>
      </c>
      <c r="E74" s="14">
        <f>E75</f>
        <v>432.3</v>
      </c>
      <c r="F74" s="14">
        <f t="shared" ref="F74:G75" si="29">F75</f>
        <v>1159.5999999999999</v>
      </c>
      <c r="G74" s="14">
        <f t="shared" si="29"/>
        <v>1159.5999999999999</v>
      </c>
    </row>
    <row r="75" spans="1:7" ht="63">
      <c r="A75" s="108" t="s">
        <v>46</v>
      </c>
      <c r="B75" s="108">
        <v>9990428000</v>
      </c>
      <c r="C75" s="108" t="s">
        <v>68</v>
      </c>
      <c r="D75" s="107" t="s">
        <v>1</v>
      </c>
      <c r="E75" s="14">
        <f>E76</f>
        <v>432.3</v>
      </c>
      <c r="F75" s="14">
        <f t="shared" si="29"/>
        <v>1159.5999999999999</v>
      </c>
      <c r="G75" s="14">
        <f t="shared" si="29"/>
        <v>1159.5999999999999</v>
      </c>
    </row>
    <row r="76" spans="1:7" ht="31.5">
      <c r="A76" s="108" t="s">
        <v>46</v>
      </c>
      <c r="B76" s="108">
        <v>9990428000</v>
      </c>
      <c r="C76" s="108">
        <v>120</v>
      </c>
      <c r="D76" s="107" t="s">
        <v>217</v>
      </c>
      <c r="E76" s="14">
        <f>'№ 4 ведом'!F781</f>
        <v>432.3</v>
      </c>
      <c r="F76" s="14">
        <f>'№ 4 ведом'!G781</f>
        <v>1159.5999999999999</v>
      </c>
      <c r="G76" s="14">
        <f>'№ 4 ведом'!H781</f>
        <v>1159.5999999999999</v>
      </c>
    </row>
    <row r="77" spans="1:7" ht="47.25">
      <c r="A77" s="108" t="s">
        <v>46</v>
      </c>
      <c r="B77" s="108">
        <v>9990455492</v>
      </c>
      <c r="C77" s="108"/>
      <c r="D77" s="107" t="s">
        <v>804</v>
      </c>
      <c r="E77" s="14">
        <f>E78</f>
        <v>15</v>
      </c>
      <c r="F77" s="14">
        <f t="shared" ref="F77:G78" si="30">F78</f>
        <v>0</v>
      </c>
      <c r="G77" s="14">
        <f t="shared" si="30"/>
        <v>0</v>
      </c>
    </row>
    <row r="78" spans="1:7" ht="63">
      <c r="A78" s="108" t="s">
        <v>46</v>
      </c>
      <c r="B78" s="108">
        <v>9990455492</v>
      </c>
      <c r="C78" s="108" t="s">
        <v>68</v>
      </c>
      <c r="D78" s="107" t="s">
        <v>1</v>
      </c>
      <c r="E78" s="14">
        <f>E79</f>
        <v>15</v>
      </c>
      <c r="F78" s="14">
        <f t="shared" si="30"/>
        <v>0</v>
      </c>
      <c r="G78" s="14">
        <f t="shared" si="30"/>
        <v>0</v>
      </c>
    </row>
    <row r="79" spans="1:7" ht="31.5">
      <c r="A79" s="108" t="s">
        <v>46</v>
      </c>
      <c r="B79" s="108">
        <v>9990455492</v>
      </c>
      <c r="C79" s="108">
        <v>120</v>
      </c>
      <c r="D79" s="107" t="s">
        <v>217</v>
      </c>
      <c r="E79" s="14">
        <f>'№ 4 ведом'!F784</f>
        <v>15</v>
      </c>
      <c r="F79" s="14">
        <f>'№ 4 ведом'!G784</f>
        <v>0</v>
      </c>
      <c r="G79" s="14">
        <f>'№ 4 ведом'!H784</f>
        <v>0</v>
      </c>
    </row>
    <row r="80" spans="1:7">
      <c r="A80" s="6" t="s">
        <v>293</v>
      </c>
      <c r="B80" s="108"/>
      <c r="C80" s="108"/>
      <c r="D80" s="22" t="s">
        <v>292</v>
      </c>
      <c r="E80" s="14">
        <f>E81</f>
        <v>8000</v>
      </c>
      <c r="F80" s="14">
        <f t="shared" ref="F80:G84" si="31">F81</f>
        <v>0</v>
      </c>
      <c r="G80" s="14">
        <f t="shared" si="31"/>
        <v>0</v>
      </c>
    </row>
    <row r="81" spans="1:7">
      <c r="A81" s="6" t="s">
        <v>293</v>
      </c>
      <c r="B81" s="108" t="s">
        <v>110</v>
      </c>
      <c r="C81" s="108" t="s">
        <v>66</v>
      </c>
      <c r="D81" s="107" t="s">
        <v>105</v>
      </c>
      <c r="E81" s="14">
        <f>E82</f>
        <v>8000</v>
      </c>
      <c r="F81" s="14">
        <f t="shared" si="31"/>
        <v>0</v>
      </c>
      <c r="G81" s="14">
        <f t="shared" si="31"/>
        <v>0</v>
      </c>
    </row>
    <row r="82" spans="1:7" ht="31.5">
      <c r="A82" s="6" t="s">
        <v>293</v>
      </c>
      <c r="B82" s="108">
        <v>9930000000</v>
      </c>
      <c r="C82" s="108"/>
      <c r="D82" s="30" t="s">
        <v>154</v>
      </c>
      <c r="E82" s="14">
        <f>E83</f>
        <v>8000</v>
      </c>
      <c r="F82" s="14">
        <f t="shared" si="31"/>
        <v>0</v>
      </c>
      <c r="G82" s="14">
        <f t="shared" si="31"/>
        <v>0</v>
      </c>
    </row>
    <row r="83" spans="1:7" ht="31.5">
      <c r="A83" s="6" t="s">
        <v>293</v>
      </c>
      <c r="B83" s="108">
        <v>9930020480</v>
      </c>
      <c r="C83" s="108"/>
      <c r="D83" s="107" t="s">
        <v>294</v>
      </c>
      <c r="E83" s="14">
        <f>E84</f>
        <v>8000</v>
      </c>
      <c r="F83" s="14">
        <f t="shared" si="31"/>
        <v>0</v>
      </c>
      <c r="G83" s="14">
        <f t="shared" si="31"/>
        <v>0</v>
      </c>
    </row>
    <row r="84" spans="1:7">
      <c r="A84" s="6" t="s">
        <v>293</v>
      </c>
      <c r="B84" s="108">
        <v>9930020480</v>
      </c>
      <c r="C84" s="108" t="s">
        <v>70</v>
      </c>
      <c r="D84" s="107" t="s">
        <v>71</v>
      </c>
      <c r="E84" s="14">
        <f>E85</f>
        <v>8000</v>
      </c>
      <c r="F84" s="14">
        <f t="shared" si="31"/>
        <v>0</v>
      </c>
      <c r="G84" s="14">
        <f t="shared" si="31"/>
        <v>0</v>
      </c>
    </row>
    <row r="85" spans="1:7">
      <c r="A85" s="6" t="s">
        <v>293</v>
      </c>
      <c r="B85" s="108">
        <v>9930020480</v>
      </c>
      <c r="C85" s="108">
        <v>880</v>
      </c>
      <c r="D85" s="107" t="s">
        <v>295</v>
      </c>
      <c r="E85" s="14">
        <f>'№ 4 ведом'!F44</f>
        <v>8000</v>
      </c>
      <c r="F85" s="14">
        <f>'№ 4 ведом'!G44</f>
        <v>0</v>
      </c>
      <c r="G85" s="14">
        <f>'№ 4 ведом'!H44</f>
        <v>0</v>
      </c>
    </row>
    <row r="86" spans="1:7">
      <c r="A86" s="58" t="s">
        <v>209</v>
      </c>
      <c r="B86" s="108"/>
      <c r="C86" s="108"/>
      <c r="D86" s="118" t="s">
        <v>210</v>
      </c>
      <c r="E86" s="14">
        <f t="shared" ref="E86:E91" si="32">E87</f>
        <v>88.6</v>
      </c>
      <c r="F86" s="14">
        <f t="shared" ref="F86:G91" si="33">F87</f>
        <v>88.6</v>
      </c>
      <c r="G86" s="14">
        <f t="shared" si="33"/>
        <v>88.6</v>
      </c>
    </row>
    <row r="87" spans="1:7" ht="47.25">
      <c r="A87" s="6" t="s">
        <v>209</v>
      </c>
      <c r="B87" s="108">
        <v>3200000000</v>
      </c>
      <c r="C87" s="108"/>
      <c r="D87" s="107" t="s">
        <v>329</v>
      </c>
      <c r="E87" s="14">
        <f t="shared" si="32"/>
        <v>88.6</v>
      </c>
      <c r="F87" s="14">
        <f t="shared" si="33"/>
        <v>88.6</v>
      </c>
      <c r="G87" s="14">
        <f t="shared" si="33"/>
        <v>88.6</v>
      </c>
    </row>
    <row r="88" spans="1:7" ht="31.5">
      <c r="A88" s="6" t="s">
        <v>209</v>
      </c>
      <c r="B88" s="108">
        <v>3250000000</v>
      </c>
      <c r="C88" s="108"/>
      <c r="D88" s="107" t="s">
        <v>132</v>
      </c>
      <c r="E88" s="14">
        <f t="shared" si="32"/>
        <v>88.6</v>
      </c>
      <c r="F88" s="14">
        <f t="shared" si="33"/>
        <v>88.6</v>
      </c>
      <c r="G88" s="14">
        <f t="shared" si="33"/>
        <v>88.6</v>
      </c>
    </row>
    <row r="89" spans="1:7" ht="31.5">
      <c r="A89" s="58" t="s">
        <v>209</v>
      </c>
      <c r="B89" s="108">
        <v>3250500000</v>
      </c>
      <c r="C89" s="108"/>
      <c r="D89" s="107" t="s">
        <v>133</v>
      </c>
      <c r="E89" s="14">
        <f t="shared" si="32"/>
        <v>88.6</v>
      </c>
      <c r="F89" s="14">
        <f t="shared" si="33"/>
        <v>88.6</v>
      </c>
      <c r="G89" s="14">
        <f t="shared" si="33"/>
        <v>88.6</v>
      </c>
    </row>
    <row r="90" spans="1:7" ht="31.5">
      <c r="A90" s="6" t="s">
        <v>209</v>
      </c>
      <c r="B90" s="108">
        <v>3250520410</v>
      </c>
      <c r="C90" s="108"/>
      <c r="D90" s="107" t="s">
        <v>198</v>
      </c>
      <c r="E90" s="14">
        <f t="shared" si="32"/>
        <v>88.6</v>
      </c>
      <c r="F90" s="14">
        <f t="shared" si="33"/>
        <v>88.6</v>
      </c>
      <c r="G90" s="14">
        <f t="shared" si="33"/>
        <v>88.6</v>
      </c>
    </row>
    <row r="91" spans="1:7">
      <c r="A91" s="6" t="s">
        <v>209</v>
      </c>
      <c r="B91" s="108">
        <v>3250520410</v>
      </c>
      <c r="C91" s="108" t="s">
        <v>70</v>
      </c>
      <c r="D91" s="107" t="s">
        <v>71</v>
      </c>
      <c r="E91" s="14">
        <f t="shared" si="32"/>
        <v>88.6</v>
      </c>
      <c r="F91" s="14">
        <f t="shared" si="33"/>
        <v>88.6</v>
      </c>
      <c r="G91" s="14">
        <f t="shared" si="33"/>
        <v>88.6</v>
      </c>
    </row>
    <row r="92" spans="1:7" ht="31.5">
      <c r="A92" s="6" t="s">
        <v>209</v>
      </c>
      <c r="B92" s="108">
        <v>3250520410</v>
      </c>
      <c r="C92" s="108">
        <v>860</v>
      </c>
      <c r="D92" s="107" t="s">
        <v>219</v>
      </c>
      <c r="E92" s="14">
        <f>'№ 4 ведом'!F51</f>
        <v>88.6</v>
      </c>
      <c r="F92" s="14">
        <f>'№ 4 ведом'!G51</f>
        <v>88.6</v>
      </c>
      <c r="G92" s="14">
        <f>'№ 4 ведом'!H51</f>
        <v>88.6</v>
      </c>
    </row>
    <row r="93" spans="1:7">
      <c r="A93" s="108" t="s">
        <v>47</v>
      </c>
      <c r="B93" s="108"/>
      <c r="C93" s="108"/>
      <c r="D93" s="107" t="s">
        <v>8</v>
      </c>
      <c r="E93" s="14">
        <f>E94</f>
        <v>1875.2000000000007</v>
      </c>
      <c r="F93" s="14">
        <f t="shared" ref="F93:G97" si="34">F94</f>
        <v>500</v>
      </c>
      <c r="G93" s="14">
        <f t="shared" si="34"/>
        <v>500</v>
      </c>
    </row>
    <row r="94" spans="1:7">
      <c r="A94" s="108" t="s">
        <v>47</v>
      </c>
      <c r="B94" s="108">
        <v>9900000000</v>
      </c>
      <c r="C94" s="108"/>
      <c r="D94" s="107" t="s">
        <v>105</v>
      </c>
      <c r="E94" s="14">
        <f>E95</f>
        <v>1875.2000000000007</v>
      </c>
      <c r="F94" s="14">
        <f t="shared" si="34"/>
        <v>500</v>
      </c>
      <c r="G94" s="14">
        <f t="shared" si="34"/>
        <v>500</v>
      </c>
    </row>
    <row r="95" spans="1:7">
      <c r="A95" s="108" t="s">
        <v>47</v>
      </c>
      <c r="B95" s="108">
        <v>9910000000</v>
      </c>
      <c r="C95" s="108"/>
      <c r="D95" s="107" t="s">
        <v>8</v>
      </c>
      <c r="E95" s="14">
        <f>E96</f>
        <v>1875.2000000000007</v>
      </c>
      <c r="F95" s="14">
        <f t="shared" si="34"/>
        <v>500</v>
      </c>
      <c r="G95" s="14">
        <f t="shared" si="34"/>
        <v>500</v>
      </c>
    </row>
    <row r="96" spans="1:7">
      <c r="A96" s="108" t="s">
        <v>47</v>
      </c>
      <c r="B96" s="108">
        <v>9910020000</v>
      </c>
      <c r="C96" s="108"/>
      <c r="D96" s="107" t="s">
        <v>253</v>
      </c>
      <c r="E96" s="14">
        <f>E97</f>
        <v>1875.2000000000007</v>
      </c>
      <c r="F96" s="14">
        <f t="shared" si="34"/>
        <v>500</v>
      </c>
      <c r="G96" s="14">
        <f t="shared" si="34"/>
        <v>500</v>
      </c>
    </row>
    <row r="97" spans="1:7">
      <c r="A97" s="108" t="s">
        <v>47</v>
      </c>
      <c r="B97" s="108">
        <v>9910020000</v>
      </c>
      <c r="C97" s="108" t="s">
        <v>70</v>
      </c>
      <c r="D97" s="107" t="s">
        <v>71</v>
      </c>
      <c r="E97" s="14">
        <f>E98</f>
        <v>1875.2000000000007</v>
      </c>
      <c r="F97" s="14">
        <f t="shared" si="34"/>
        <v>500</v>
      </c>
      <c r="G97" s="14">
        <f t="shared" si="34"/>
        <v>500</v>
      </c>
    </row>
    <row r="98" spans="1:7">
      <c r="A98" s="108" t="s">
        <v>47</v>
      </c>
      <c r="B98" s="108">
        <v>9910020000</v>
      </c>
      <c r="C98" s="1" t="s">
        <v>159</v>
      </c>
      <c r="D98" s="26" t="s">
        <v>160</v>
      </c>
      <c r="E98" s="14">
        <f>'№ 4 ведом'!F665</f>
        <v>1875.2000000000007</v>
      </c>
      <c r="F98" s="14">
        <f>'№ 4 ведом'!G665</f>
        <v>500</v>
      </c>
      <c r="G98" s="14">
        <f>'№ 4 ведом'!H665</f>
        <v>500</v>
      </c>
    </row>
    <row r="99" spans="1:7">
      <c r="A99" s="110" t="s">
        <v>60</v>
      </c>
      <c r="B99" s="110" t="s">
        <v>66</v>
      </c>
      <c r="C99" s="110" t="s">
        <v>66</v>
      </c>
      <c r="D99" s="118" t="s">
        <v>23</v>
      </c>
      <c r="E99" s="119">
        <f>E100+E118+E137+E169</f>
        <v>63168.2</v>
      </c>
      <c r="F99" s="119">
        <f>F100+F118+F137+F169</f>
        <v>42495.5</v>
      </c>
      <c r="G99" s="119">
        <f>G100+G118+G137+G169</f>
        <v>43363.799999999996</v>
      </c>
    </row>
    <row r="100" spans="1:7" ht="47.25">
      <c r="A100" s="108" t="s">
        <v>60</v>
      </c>
      <c r="B100" s="108">
        <v>3200000000</v>
      </c>
      <c r="C100" s="108"/>
      <c r="D100" s="107" t="s">
        <v>329</v>
      </c>
      <c r="E100" s="14">
        <f>E101</f>
        <v>1074</v>
      </c>
      <c r="F100" s="14">
        <f t="shared" ref="F100:G100" si="35">F101</f>
        <v>790.1</v>
      </c>
      <c r="G100" s="14">
        <f t="shared" si="35"/>
        <v>790.1</v>
      </c>
    </row>
    <row r="101" spans="1:7" ht="31.5">
      <c r="A101" s="108" t="s">
        <v>60</v>
      </c>
      <c r="B101" s="108">
        <v>3250000000</v>
      </c>
      <c r="C101" s="108"/>
      <c r="D101" s="107" t="s">
        <v>132</v>
      </c>
      <c r="E101" s="14">
        <f>E102+E111</f>
        <v>1074</v>
      </c>
      <c r="F101" s="14">
        <f t="shared" ref="F101:G101" si="36">F102+F111</f>
        <v>790.1</v>
      </c>
      <c r="G101" s="14">
        <f t="shared" si="36"/>
        <v>790.1</v>
      </c>
    </row>
    <row r="102" spans="1:7" ht="31.5">
      <c r="A102" s="108" t="s">
        <v>60</v>
      </c>
      <c r="B102" s="108">
        <v>3250200000</v>
      </c>
      <c r="C102" s="108"/>
      <c r="D102" s="107" t="s">
        <v>144</v>
      </c>
      <c r="E102" s="14">
        <f>E103+E108</f>
        <v>190.5</v>
      </c>
      <c r="F102" s="14">
        <f t="shared" ref="F102:G102" si="37">F103+F108</f>
        <v>6.6</v>
      </c>
      <c r="G102" s="14">
        <f t="shared" si="37"/>
        <v>6.6</v>
      </c>
    </row>
    <row r="103" spans="1:7">
      <c r="A103" s="108" t="s">
        <v>60</v>
      </c>
      <c r="B103" s="108">
        <v>3250220340</v>
      </c>
      <c r="C103" s="108"/>
      <c r="D103" s="107" t="s">
        <v>148</v>
      </c>
      <c r="E103" s="14">
        <f>E104+E106</f>
        <v>183.9</v>
      </c>
      <c r="F103" s="14">
        <f t="shared" ref="F103:G103" si="38">F104+F106</f>
        <v>0</v>
      </c>
      <c r="G103" s="14">
        <f t="shared" si="38"/>
        <v>0</v>
      </c>
    </row>
    <row r="104" spans="1:7" ht="31.5">
      <c r="A104" s="108" t="s">
        <v>60</v>
      </c>
      <c r="B104" s="108">
        <v>3250220340</v>
      </c>
      <c r="C104" s="108" t="s">
        <v>69</v>
      </c>
      <c r="D104" s="107" t="s">
        <v>95</v>
      </c>
      <c r="E104" s="14">
        <f>E105</f>
        <v>113.4</v>
      </c>
      <c r="F104" s="14">
        <f t="shared" ref="F104:G104" si="39">F105</f>
        <v>0</v>
      </c>
      <c r="G104" s="14">
        <f t="shared" si="39"/>
        <v>0</v>
      </c>
    </row>
    <row r="105" spans="1:7" ht="31.5">
      <c r="A105" s="108" t="s">
        <v>60</v>
      </c>
      <c r="B105" s="108">
        <v>3250220340</v>
      </c>
      <c r="C105" s="108">
        <v>240</v>
      </c>
      <c r="D105" s="107" t="s">
        <v>216</v>
      </c>
      <c r="E105" s="14">
        <f>'№ 4 ведом'!F58</f>
        <v>113.4</v>
      </c>
      <c r="F105" s="14">
        <f>'№ 4 ведом'!G58</f>
        <v>0</v>
      </c>
      <c r="G105" s="14">
        <f>'№ 4 ведом'!H58</f>
        <v>0</v>
      </c>
    </row>
    <row r="106" spans="1:7">
      <c r="A106" s="108" t="s">
        <v>60</v>
      </c>
      <c r="B106" s="108">
        <v>3250220340</v>
      </c>
      <c r="C106" s="108" t="s">
        <v>73</v>
      </c>
      <c r="D106" s="107" t="s">
        <v>74</v>
      </c>
      <c r="E106" s="14">
        <f>E107</f>
        <v>70.5</v>
      </c>
      <c r="F106" s="14">
        <f t="shared" ref="F106:G106" si="40">F107</f>
        <v>0</v>
      </c>
      <c r="G106" s="14">
        <f t="shared" si="40"/>
        <v>0</v>
      </c>
    </row>
    <row r="107" spans="1:7">
      <c r="A107" s="108" t="s">
        <v>60</v>
      </c>
      <c r="B107" s="108">
        <v>3250220340</v>
      </c>
      <c r="C107" s="108">
        <v>350</v>
      </c>
      <c r="D107" s="26" t="s">
        <v>149</v>
      </c>
      <c r="E107" s="14">
        <f>'№ 4 ведом'!F60</f>
        <v>70.5</v>
      </c>
      <c r="F107" s="14">
        <f>'№ 4 ведом'!G60</f>
        <v>0</v>
      </c>
      <c r="G107" s="14">
        <f>'№ 4 ведом'!H60</f>
        <v>0</v>
      </c>
    </row>
    <row r="108" spans="1:7" ht="31.5">
      <c r="A108" s="108" t="s">
        <v>60</v>
      </c>
      <c r="B108" s="108">
        <v>3250220360</v>
      </c>
      <c r="C108" s="108"/>
      <c r="D108" s="26" t="s">
        <v>220</v>
      </c>
      <c r="E108" s="14">
        <f>E109</f>
        <v>6.6</v>
      </c>
      <c r="F108" s="14">
        <f t="shared" ref="F108:G109" si="41">F109</f>
        <v>6.6</v>
      </c>
      <c r="G108" s="14">
        <f t="shared" si="41"/>
        <v>6.6</v>
      </c>
    </row>
    <row r="109" spans="1:7">
      <c r="A109" s="108" t="s">
        <v>60</v>
      </c>
      <c r="B109" s="108">
        <v>3250220360</v>
      </c>
      <c r="C109" s="108" t="s">
        <v>73</v>
      </c>
      <c r="D109" s="107" t="s">
        <v>74</v>
      </c>
      <c r="E109" s="14">
        <f>E110</f>
        <v>6.6</v>
      </c>
      <c r="F109" s="14">
        <f t="shared" si="41"/>
        <v>6.6</v>
      </c>
      <c r="G109" s="14">
        <f t="shared" si="41"/>
        <v>6.6</v>
      </c>
    </row>
    <row r="110" spans="1:7">
      <c r="A110" s="108" t="s">
        <v>60</v>
      </c>
      <c r="B110" s="108">
        <v>3250220360</v>
      </c>
      <c r="C110" s="108">
        <v>350</v>
      </c>
      <c r="D110" s="26" t="s">
        <v>149</v>
      </c>
      <c r="E110" s="14">
        <f>'№ 4 ведом'!F63</f>
        <v>6.6</v>
      </c>
      <c r="F110" s="14">
        <f>'№ 4 ведом'!G63</f>
        <v>6.6</v>
      </c>
      <c r="G110" s="14">
        <f>'№ 4 ведом'!H63</f>
        <v>6.6</v>
      </c>
    </row>
    <row r="111" spans="1:7" ht="31.5">
      <c r="A111" s="108" t="s">
        <v>60</v>
      </c>
      <c r="B111" s="108">
        <v>3250500000</v>
      </c>
      <c r="C111" s="108"/>
      <c r="D111" s="107" t="s">
        <v>133</v>
      </c>
      <c r="E111" s="14">
        <f>E112+E115</f>
        <v>883.5</v>
      </c>
      <c r="F111" s="14">
        <f t="shared" ref="F111:G111" si="42">F112+F115</f>
        <v>783.5</v>
      </c>
      <c r="G111" s="14">
        <f t="shared" si="42"/>
        <v>783.5</v>
      </c>
    </row>
    <row r="112" spans="1:7" ht="31.5">
      <c r="A112" s="108" t="s">
        <v>60</v>
      </c>
      <c r="B112" s="108">
        <v>3250520410</v>
      </c>
      <c r="C112" s="108"/>
      <c r="D112" s="107" t="s">
        <v>198</v>
      </c>
      <c r="E112" s="14">
        <f>E113</f>
        <v>156.1</v>
      </c>
      <c r="F112" s="14">
        <f t="shared" ref="F112:G113" si="43">F113</f>
        <v>156.1</v>
      </c>
      <c r="G112" s="14">
        <f t="shared" si="43"/>
        <v>156.1</v>
      </c>
    </row>
    <row r="113" spans="1:7">
      <c r="A113" s="108" t="s">
        <v>60</v>
      </c>
      <c r="B113" s="108">
        <v>3250520410</v>
      </c>
      <c r="C113" s="108" t="s">
        <v>70</v>
      </c>
      <c r="D113" s="107" t="s">
        <v>71</v>
      </c>
      <c r="E113" s="14">
        <f>E114</f>
        <v>156.1</v>
      </c>
      <c r="F113" s="14">
        <f t="shared" si="43"/>
        <v>156.1</v>
      </c>
      <c r="G113" s="14">
        <f t="shared" si="43"/>
        <v>156.1</v>
      </c>
    </row>
    <row r="114" spans="1:7">
      <c r="A114" s="108" t="s">
        <v>60</v>
      </c>
      <c r="B114" s="108">
        <v>3250520410</v>
      </c>
      <c r="C114" s="108">
        <v>850</v>
      </c>
      <c r="D114" s="107" t="s">
        <v>100</v>
      </c>
      <c r="E114" s="14">
        <f>'№ 4 ведом'!F67</f>
        <v>156.1</v>
      </c>
      <c r="F114" s="14">
        <f>'№ 4 ведом'!G67</f>
        <v>156.1</v>
      </c>
      <c r="G114" s="14">
        <f>'№ 4 ведом'!H67</f>
        <v>156.1</v>
      </c>
    </row>
    <row r="115" spans="1:7" ht="31.5">
      <c r="A115" s="108" t="s">
        <v>60</v>
      </c>
      <c r="B115" s="108">
        <v>3250520460</v>
      </c>
      <c r="C115" s="108"/>
      <c r="D115" s="107" t="s">
        <v>212</v>
      </c>
      <c r="E115" s="14">
        <f>E116</f>
        <v>727.4</v>
      </c>
      <c r="F115" s="14">
        <f t="shared" ref="F115:G116" si="44">F116</f>
        <v>627.4</v>
      </c>
      <c r="G115" s="14">
        <f t="shared" si="44"/>
        <v>627.4</v>
      </c>
    </row>
    <row r="116" spans="1:7" ht="31.5">
      <c r="A116" s="108" t="s">
        <v>60</v>
      </c>
      <c r="B116" s="108">
        <v>3250520460</v>
      </c>
      <c r="C116" s="108" t="s">
        <v>69</v>
      </c>
      <c r="D116" s="107" t="s">
        <v>95</v>
      </c>
      <c r="E116" s="14">
        <f>E117</f>
        <v>727.4</v>
      </c>
      <c r="F116" s="14">
        <f t="shared" si="44"/>
        <v>627.4</v>
      </c>
      <c r="G116" s="14">
        <f t="shared" si="44"/>
        <v>627.4</v>
      </c>
    </row>
    <row r="117" spans="1:7" ht="31.5">
      <c r="A117" s="108" t="s">
        <v>60</v>
      </c>
      <c r="B117" s="108">
        <v>3250520460</v>
      </c>
      <c r="C117" s="108">
        <v>240</v>
      </c>
      <c r="D117" s="107" t="s">
        <v>216</v>
      </c>
      <c r="E117" s="14">
        <f>'№ 4 ведом'!F70</f>
        <v>727.4</v>
      </c>
      <c r="F117" s="14">
        <f>'№ 4 ведом'!G70</f>
        <v>627.4</v>
      </c>
      <c r="G117" s="14">
        <f>'№ 4 ведом'!H70</f>
        <v>627.4</v>
      </c>
    </row>
    <row r="118" spans="1:7" ht="31.5">
      <c r="A118" s="108" t="s">
        <v>60</v>
      </c>
      <c r="B118" s="108">
        <v>3500000000</v>
      </c>
      <c r="C118" s="108"/>
      <c r="D118" s="107" t="s">
        <v>330</v>
      </c>
      <c r="E118" s="14">
        <f>E119+E124</f>
        <v>1761.1000000000001</v>
      </c>
      <c r="F118" s="14">
        <f t="shared" ref="F118:G118" si="45">F119+F124</f>
        <v>1761.1000000000001</v>
      </c>
      <c r="G118" s="14">
        <f t="shared" si="45"/>
        <v>1761.1000000000001</v>
      </c>
    </row>
    <row r="119" spans="1:7">
      <c r="A119" s="108" t="s">
        <v>60</v>
      </c>
      <c r="B119" s="108">
        <v>3510000000</v>
      </c>
      <c r="C119" s="108"/>
      <c r="D119" s="107" t="s">
        <v>150</v>
      </c>
      <c r="E119" s="14">
        <f>E120</f>
        <v>42.4</v>
      </c>
      <c r="F119" s="14">
        <f t="shared" ref="F119:G119" si="46">F120</f>
        <v>42.4</v>
      </c>
      <c r="G119" s="14">
        <f t="shared" si="46"/>
        <v>42.4</v>
      </c>
    </row>
    <row r="120" spans="1:7" ht="47.25">
      <c r="A120" s="108" t="s">
        <v>60</v>
      </c>
      <c r="B120" s="108">
        <v>3510200000</v>
      </c>
      <c r="C120" s="108"/>
      <c r="D120" s="107" t="s">
        <v>170</v>
      </c>
      <c r="E120" s="14">
        <f>E121</f>
        <v>42.4</v>
      </c>
      <c r="F120" s="14">
        <f t="shared" ref="F120:G122" si="47">F121</f>
        <v>42.4</v>
      </c>
      <c r="G120" s="14">
        <f t="shared" si="47"/>
        <v>42.4</v>
      </c>
    </row>
    <row r="121" spans="1:7" ht="31.5">
      <c r="A121" s="108" t="s">
        <v>60</v>
      </c>
      <c r="B121" s="108">
        <v>3510220170</v>
      </c>
      <c r="C121" s="108"/>
      <c r="D121" s="107" t="s">
        <v>171</v>
      </c>
      <c r="E121" s="14">
        <f>E122</f>
        <v>42.4</v>
      </c>
      <c r="F121" s="14">
        <f t="shared" si="47"/>
        <v>42.4</v>
      </c>
      <c r="G121" s="14">
        <f t="shared" si="47"/>
        <v>42.4</v>
      </c>
    </row>
    <row r="122" spans="1:7" ht="63">
      <c r="A122" s="108" t="s">
        <v>60</v>
      </c>
      <c r="B122" s="108">
        <v>3510220170</v>
      </c>
      <c r="C122" s="108" t="s">
        <v>68</v>
      </c>
      <c r="D122" s="107" t="s">
        <v>1</v>
      </c>
      <c r="E122" s="14">
        <f>E123</f>
        <v>42.4</v>
      </c>
      <c r="F122" s="14">
        <f t="shared" si="47"/>
        <v>42.4</v>
      </c>
      <c r="G122" s="14">
        <f t="shared" si="47"/>
        <v>42.4</v>
      </c>
    </row>
    <row r="123" spans="1:7" ht="31.5">
      <c r="A123" s="108" t="s">
        <v>60</v>
      </c>
      <c r="B123" s="108">
        <v>3510220170</v>
      </c>
      <c r="C123" s="108">
        <v>120</v>
      </c>
      <c r="D123" s="107" t="s">
        <v>217</v>
      </c>
      <c r="E123" s="14">
        <f>'№ 4 ведом'!F76</f>
        <v>42.4</v>
      </c>
      <c r="F123" s="14">
        <f>'№ 4 ведом'!G76</f>
        <v>42.4</v>
      </c>
      <c r="G123" s="14">
        <f>'№ 4 ведом'!H76</f>
        <v>42.4</v>
      </c>
    </row>
    <row r="124" spans="1:7" ht="31.5">
      <c r="A124" s="108" t="s">
        <v>60</v>
      </c>
      <c r="B124" s="108">
        <v>3520000000</v>
      </c>
      <c r="C124" s="108"/>
      <c r="D124" s="30" t="s">
        <v>224</v>
      </c>
      <c r="E124" s="14">
        <f>E125+E129+E133</f>
        <v>1718.7</v>
      </c>
      <c r="F124" s="14">
        <f t="shared" ref="F124:G124" si="48">F125+F129+F133</f>
        <v>1718.7</v>
      </c>
      <c r="G124" s="14">
        <f t="shared" si="48"/>
        <v>1718.7</v>
      </c>
    </row>
    <row r="125" spans="1:7" ht="31.5">
      <c r="A125" s="108" t="s">
        <v>60</v>
      </c>
      <c r="B125" s="108">
        <v>3520300000</v>
      </c>
      <c r="C125" s="108"/>
      <c r="D125" s="30" t="s">
        <v>264</v>
      </c>
      <c r="E125" s="14">
        <f>E126</f>
        <v>104.4</v>
      </c>
      <c r="F125" s="14">
        <f t="shared" ref="F125:G127" si="49">F126</f>
        <v>104.4</v>
      </c>
      <c r="G125" s="14">
        <f t="shared" si="49"/>
        <v>104.4</v>
      </c>
    </row>
    <row r="126" spans="1:7">
      <c r="A126" s="108" t="s">
        <v>60</v>
      </c>
      <c r="B126" s="108">
        <v>3520320300</v>
      </c>
      <c r="C126" s="108"/>
      <c r="D126" s="30" t="s">
        <v>265</v>
      </c>
      <c r="E126" s="14">
        <f>E127</f>
        <v>104.4</v>
      </c>
      <c r="F126" s="14">
        <f t="shared" si="49"/>
        <v>104.4</v>
      </c>
      <c r="G126" s="14">
        <f t="shared" si="49"/>
        <v>104.4</v>
      </c>
    </row>
    <row r="127" spans="1:7" ht="31.5">
      <c r="A127" s="108" t="s">
        <v>60</v>
      </c>
      <c r="B127" s="108">
        <v>3520320300</v>
      </c>
      <c r="C127" s="108" t="s">
        <v>69</v>
      </c>
      <c r="D127" s="107" t="s">
        <v>95</v>
      </c>
      <c r="E127" s="14">
        <f>E128</f>
        <v>104.4</v>
      </c>
      <c r="F127" s="14">
        <f t="shared" si="49"/>
        <v>104.4</v>
      </c>
      <c r="G127" s="14">
        <f t="shared" si="49"/>
        <v>104.4</v>
      </c>
    </row>
    <row r="128" spans="1:7" ht="31.5">
      <c r="A128" s="108" t="s">
        <v>60</v>
      </c>
      <c r="B128" s="108">
        <v>3520320300</v>
      </c>
      <c r="C128" s="108">
        <v>240</v>
      </c>
      <c r="D128" s="107" t="s">
        <v>216</v>
      </c>
      <c r="E128" s="14">
        <f>'№ 4 ведом'!F81</f>
        <v>104.4</v>
      </c>
      <c r="F128" s="14">
        <f>'№ 4 ведом'!G81</f>
        <v>104.4</v>
      </c>
      <c r="G128" s="14">
        <f>'№ 4 ведом'!H81</f>
        <v>104.4</v>
      </c>
    </row>
    <row r="129" spans="1:7" ht="31.5">
      <c r="A129" s="108" t="s">
        <v>60</v>
      </c>
      <c r="B129" s="108">
        <v>3520400000</v>
      </c>
      <c r="C129" s="108"/>
      <c r="D129" s="107" t="s">
        <v>270</v>
      </c>
      <c r="E129" s="14">
        <f t="shared" ref="E129:G131" si="50">E130</f>
        <v>139.4</v>
      </c>
      <c r="F129" s="14">
        <f t="shared" si="50"/>
        <v>139.4</v>
      </c>
      <c r="G129" s="14">
        <f t="shared" si="50"/>
        <v>139.4</v>
      </c>
    </row>
    <row r="130" spans="1:7">
      <c r="A130" s="108" t="s">
        <v>60</v>
      </c>
      <c r="B130" s="108">
        <v>3520420300</v>
      </c>
      <c r="C130" s="108"/>
      <c r="D130" s="107" t="s">
        <v>271</v>
      </c>
      <c r="E130" s="14">
        <f t="shared" si="50"/>
        <v>139.4</v>
      </c>
      <c r="F130" s="14">
        <f t="shared" si="50"/>
        <v>139.4</v>
      </c>
      <c r="G130" s="14">
        <f t="shared" si="50"/>
        <v>139.4</v>
      </c>
    </row>
    <row r="131" spans="1:7" ht="31.5">
      <c r="A131" s="108" t="s">
        <v>60</v>
      </c>
      <c r="B131" s="108">
        <v>3520420300</v>
      </c>
      <c r="C131" s="108" t="s">
        <v>69</v>
      </c>
      <c r="D131" s="107" t="s">
        <v>95</v>
      </c>
      <c r="E131" s="14">
        <f t="shared" si="50"/>
        <v>139.4</v>
      </c>
      <c r="F131" s="14">
        <f t="shared" si="50"/>
        <v>139.4</v>
      </c>
      <c r="G131" s="14">
        <f t="shared" si="50"/>
        <v>139.4</v>
      </c>
    </row>
    <row r="132" spans="1:7" ht="31.5">
      <c r="A132" s="108" t="s">
        <v>60</v>
      </c>
      <c r="B132" s="108">
        <v>3520420300</v>
      </c>
      <c r="C132" s="108">
        <v>240</v>
      </c>
      <c r="D132" s="107" t="s">
        <v>216</v>
      </c>
      <c r="E132" s="14">
        <f>'№ 4 ведом'!F85</f>
        <v>139.4</v>
      </c>
      <c r="F132" s="14">
        <f>'№ 4 ведом'!G85</f>
        <v>139.4</v>
      </c>
      <c r="G132" s="14">
        <f>'№ 4 ведом'!H85</f>
        <v>139.4</v>
      </c>
    </row>
    <row r="133" spans="1:7" ht="31.5">
      <c r="A133" s="108" t="s">
        <v>60</v>
      </c>
      <c r="B133" s="108">
        <v>3520500000</v>
      </c>
      <c r="C133" s="108"/>
      <c r="D133" s="107" t="s">
        <v>269</v>
      </c>
      <c r="E133" s="14">
        <f>E134</f>
        <v>1474.9</v>
      </c>
      <c r="F133" s="14">
        <f t="shared" ref="F133:G135" si="51">F134</f>
        <v>1474.9</v>
      </c>
      <c r="G133" s="14">
        <f t="shared" si="51"/>
        <v>1474.9</v>
      </c>
    </row>
    <row r="134" spans="1:7">
      <c r="A134" s="108" t="s">
        <v>60</v>
      </c>
      <c r="B134" s="108">
        <v>3520520200</v>
      </c>
      <c r="C134" s="108"/>
      <c r="D134" s="107" t="s">
        <v>252</v>
      </c>
      <c r="E134" s="14">
        <f>E135</f>
        <v>1474.9</v>
      </c>
      <c r="F134" s="14">
        <f t="shared" si="51"/>
        <v>1474.9</v>
      </c>
      <c r="G134" s="14">
        <f t="shared" si="51"/>
        <v>1474.9</v>
      </c>
    </row>
    <row r="135" spans="1:7" ht="31.5">
      <c r="A135" s="108" t="s">
        <v>60</v>
      </c>
      <c r="B135" s="108">
        <v>3520520200</v>
      </c>
      <c r="C135" s="108" t="s">
        <v>69</v>
      </c>
      <c r="D135" s="107" t="s">
        <v>95</v>
      </c>
      <c r="E135" s="14">
        <f>E136</f>
        <v>1474.9</v>
      </c>
      <c r="F135" s="14">
        <f t="shared" si="51"/>
        <v>1474.9</v>
      </c>
      <c r="G135" s="14">
        <f t="shared" si="51"/>
        <v>1474.9</v>
      </c>
    </row>
    <row r="136" spans="1:7" ht="31.5">
      <c r="A136" s="108" t="s">
        <v>60</v>
      </c>
      <c r="B136" s="108">
        <v>3520520200</v>
      </c>
      <c r="C136" s="108">
        <v>240</v>
      </c>
      <c r="D136" s="107" t="s">
        <v>216</v>
      </c>
      <c r="E136" s="14">
        <f>'№ 4 ведом'!F89</f>
        <v>1474.9</v>
      </c>
      <c r="F136" s="14">
        <f>'№ 4 ведом'!G89</f>
        <v>1474.9</v>
      </c>
      <c r="G136" s="14">
        <f>'№ 4 ведом'!H89</f>
        <v>1474.9</v>
      </c>
    </row>
    <row r="137" spans="1:7" ht="47.25">
      <c r="A137" s="108" t="s">
        <v>60</v>
      </c>
      <c r="B137" s="108">
        <v>3600000000</v>
      </c>
      <c r="C137" s="108"/>
      <c r="D137" s="107" t="s">
        <v>331</v>
      </c>
      <c r="E137" s="14">
        <f>E138+E152+E164</f>
        <v>20678.599999999999</v>
      </c>
      <c r="F137" s="14">
        <f>F138+F152+F164</f>
        <v>2429.8000000000002</v>
      </c>
      <c r="G137" s="14">
        <f>G138+G152+G164</f>
        <v>2429.8000000000002</v>
      </c>
    </row>
    <row r="138" spans="1:7" ht="31.5">
      <c r="A138" s="108" t="s">
        <v>60</v>
      </c>
      <c r="B138" s="108">
        <v>3610000000</v>
      </c>
      <c r="C138" s="108"/>
      <c r="D138" s="107" t="s">
        <v>107</v>
      </c>
      <c r="E138" s="14">
        <f>E139+E148</f>
        <v>16718.5</v>
      </c>
      <c r="F138" s="14">
        <f t="shared" ref="F138:G138" si="52">F139+F148</f>
        <v>2403.3000000000002</v>
      </c>
      <c r="G138" s="14">
        <f t="shared" si="52"/>
        <v>2403.3000000000002</v>
      </c>
    </row>
    <row r="139" spans="1:7">
      <c r="A139" s="108" t="s">
        <v>60</v>
      </c>
      <c r="B139" s="108">
        <v>3610100000</v>
      </c>
      <c r="C139" s="108"/>
      <c r="D139" s="107" t="s">
        <v>108</v>
      </c>
      <c r="E139" s="14">
        <f>E140+E145</f>
        <v>7273.2</v>
      </c>
      <c r="F139" s="14">
        <f>F140+F145</f>
        <v>2403.3000000000002</v>
      </c>
      <c r="G139" s="14">
        <f>G140+G145</f>
        <v>2403.3000000000002</v>
      </c>
    </row>
    <row r="140" spans="1:7">
      <c r="A140" s="108" t="s">
        <v>60</v>
      </c>
      <c r="B140" s="108">
        <v>3610120210</v>
      </c>
      <c r="C140" s="108"/>
      <c r="D140" s="107" t="s">
        <v>109</v>
      </c>
      <c r="E140" s="14">
        <f>E141+E143</f>
        <v>6955.2</v>
      </c>
      <c r="F140" s="14">
        <f t="shared" ref="F140:G140" si="53">F141+F143</f>
        <v>2403.3000000000002</v>
      </c>
      <c r="G140" s="14">
        <f t="shared" si="53"/>
        <v>2403.3000000000002</v>
      </c>
    </row>
    <row r="141" spans="1:7" ht="31.5">
      <c r="A141" s="108" t="s">
        <v>60</v>
      </c>
      <c r="B141" s="108">
        <v>3610120210</v>
      </c>
      <c r="C141" s="108" t="s">
        <v>69</v>
      </c>
      <c r="D141" s="107" t="s">
        <v>95</v>
      </c>
      <c r="E141" s="14">
        <f t="shared" ref="E141:G141" si="54">E142</f>
        <v>6895.2</v>
      </c>
      <c r="F141" s="14">
        <f t="shared" si="54"/>
        <v>2403.3000000000002</v>
      </c>
      <c r="G141" s="14">
        <f t="shared" si="54"/>
        <v>2403.3000000000002</v>
      </c>
    </row>
    <row r="142" spans="1:7" ht="31.5">
      <c r="A142" s="108" t="s">
        <v>60</v>
      </c>
      <c r="B142" s="108">
        <v>3610120210</v>
      </c>
      <c r="C142" s="108">
        <v>240</v>
      </c>
      <c r="D142" s="107" t="s">
        <v>216</v>
      </c>
      <c r="E142" s="14">
        <f>'№ 4 ведом'!F687</f>
        <v>6895.2</v>
      </c>
      <c r="F142" s="14">
        <f>'№ 4 ведом'!G687</f>
        <v>2403.3000000000002</v>
      </c>
      <c r="G142" s="14">
        <f>'№ 4 ведом'!H687</f>
        <v>2403.3000000000002</v>
      </c>
    </row>
    <row r="143" spans="1:7">
      <c r="A143" s="108" t="s">
        <v>60</v>
      </c>
      <c r="B143" s="108">
        <v>3610120210</v>
      </c>
      <c r="C143" s="8" t="s">
        <v>70</v>
      </c>
      <c r="D143" s="22" t="s">
        <v>71</v>
      </c>
      <c r="E143" s="14">
        <f>E144</f>
        <v>60</v>
      </c>
      <c r="F143" s="14">
        <f t="shared" ref="F143:G143" si="55">F144</f>
        <v>0</v>
      </c>
      <c r="G143" s="14">
        <f t="shared" si="55"/>
        <v>0</v>
      </c>
    </row>
    <row r="144" spans="1:7">
      <c r="A144" s="108" t="s">
        <v>60</v>
      </c>
      <c r="B144" s="108">
        <v>3610120210</v>
      </c>
      <c r="C144" s="108">
        <v>850</v>
      </c>
      <c r="D144" s="107" t="s">
        <v>100</v>
      </c>
      <c r="E144" s="14">
        <f>'№ 4 ведом'!F689</f>
        <v>60</v>
      </c>
      <c r="F144" s="14">
        <f>'№ 4 ведом'!G689</f>
        <v>0</v>
      </c>
      <c r="G144" s="14">
        <f>'№ 4 ведом'!H689</f>
        <v>0</v>
      </c>
    </row>
    <row r="145" spans="1:7" ht="31.5">
      <c r="A145" s="108" t="s">
        <v>60</v>
      </c>
      <c r="B145" s="108">
        <v>3610120220</v>
      </c>
      <c r="C145" s="108"/>
      <c r="D145" s="107" t="s">
        <v>106</v>
      </c>
      <c r="E145" s="14">
        <f t="shared" ref="E145:G146" si="56">E146</f>
        <v>318</v>
      </c>
      <c r="F145" s="14">
        <f t="shared" si="56"/>
        <v>0</v>
      </c>
      <c r="G145" s="14">
        <f t="shared" si="56"/>
        <v>0</v>
      </c>
    </row>
    <row r="146" spans="1:7" ht="31.5">
      <c r="A146" s="108" t="s">
        <v>60</v>
      </c>
      <c r="B146" s="108">
        <v>3610120220</v>
      </c>
      <c r="C146" s="108" t="s">
        <v>69</v>
      </c>
      <c r="D146" s="107" t="s">
        <v>95</v>
      </c>
      <c r="E146" s="14">
        <f t="shared" si="56"/>
        <v>318</v>
      </c>
      <c r="F146" s="14">
        <f t="shared" si="56"/>
        <v>0</v>
      </c>
      <c r="G146" s="14">
        <f t="shared" si="56"/>
        <v>0</v>
      </c>
    </row>
    <row r="147" spans="1:7" ht="31.5">
      <c r="A147" s="108" t="s">
        <v>60</v>
      </c>
      <c r="B147" s="108">
        <v>3610120220</v>
      </c>
      <c r="C147" s="108">
        <v>240</v>
      </c>
      <c r="D147" s="107" t="s">
        <v>216</v>
      </c>
      <c r="E147" s="14">
        <f>'№ 4 ведом'!F692</f>
        <v>318</v>
      </c>
      <c r="F147" s="14">
        <f>'№ 4 ведом'!G692</f>
        <v>0</v>
      </c>
      <c r="G147" s="14">
        <f>'№ 4 ведом'!H692</f>
        <v>0</v>
      </c>
    </row>
    <row r="148" spans="1:7" ht="31.5">
      <c r="A148" s="108" t="s">
        <v>60</v>
      </c>
      <c r="B148" s="108">
        <v>3610300000</v>
      </c>
      <c r="C148" s="108"/>
      <c r="D148" s="30" t="s">
        <v>414</v>
      </c>
      <c r="E148" s="14">
        <f>E149</f>
        <v>9445.2999999999993</v>
      </c>
      <c r="F148" s="14">
        <f t="shared" ref="F148:G150" si="57">F149</f>
        <v>0</v>
      </c>
      <c r="G148" s="14">
        <f t="shared" si="57"/>
        <v>0</v>
      </c>
    </row>
    <row r="149" spans="1:7" ht="31.5">
      <c r="A149" s="108" t="s">
        <v>60</v>
      </c>
      <c r="B149" s="108">
        <v>3610320030</v>
      </c>
      <c r="C149" s="108"/>
      <c r="D149" s="33" t="s">
        <v>415</v>
      </c>
      <c r="E149" s="14">
        <f>E150</f>
        <v>9445.2999999999993</v>
      </c>
      <c r="F149" s="14">
        <f t="shared" si="57"/>
        <v>0</v>
      </c>
      <c r="G149" s="14">
        <f t="shared" si="57"/>
        <v>0</v>
      </c>
    </row>
    <row r="150" spans="1:7" ht="31.5">
      <c r="A150" s="108" t="s">
        <v>60</v>
      </c>
      <c r="B150" s="108">
        <v>3610320030</v>
      </c>
      <c r="C150" s="108" t="s">
        <v>69</v>
      </c>
      <c r="D150" s="107" t="s">
        <v>95</v>
      </c>
      <c r="E150" s="14">
        <f>E151</f>
        <v>9445.2999999999993</v>
      </c>
      <c r="F150" s="14">
        <f t="shared" si="57"/>
        <v>0</v>
      </c>
      <c r="G150" s="14">
        <f t="shared" si="57"/>
        <v>0</v>
      </c>
    </row>
    <row r="151" spans="1:7" ht="31.5">
      <c r="A151" s="108" t="s">
        <v>60</v>
      </c>
      <c r="B151" s="108">
        <v>3610320030</v>
      </c>
      <c r="C151" s="108">
        <v>240</v>
      </c>
      <c r="D151" s="107" t="s">
        <v>216</v>
      </c>
      <c r="E151" s="14">
        <f>'№ 4 ведом'!F696+'№ 4 ведом'!F96</f>
        <v>9445.2999999999993</v>
      </c>
      <c r="F151" s="14">
        <f>'№ 4 ведом'!G696+'№ 4 ведом'!G96</f>
        <v>0</v>
      </c>
      <c r="G151" s="14">
        <f>'№ 4 ведом'!H696+'№ 4 ведом'!H96</f>
        <v>0</v>
      </c>
    </row>
    <row r="152" spans="1:7" ht="47.25">
      <c r="A152" s="108" t="s">
        <v>60</v>
      </c>
      <c r="B152" s="108">
        <v>3620000000</v>
      </c>
      <c r="C152" s="108"/>
      <c r="D152" s="107" t="s">
        <v>199</v>
      </c>
      <c r="E152" s="14">
        <f>E153+E160</f>
        <v>3600.1000000000004</v>
      </c>
      <c r="F152" s="14">
        <f>F153+F160</f>
        <v>0</v>
      </c>
      <c r="G152" s="14">
        <f>G153+G160</f>
        <v>0</v>
      </c>
    </row>
    <row r="153" spans="1:7" ht="47.25">
      <c r="A153" s="108" t="s">
        <v>60</v>
      </c>
      <c r="B153" s="108">
        <v>3620100000</v>
      </c>
      <c r="C153" s="108"/>
      <c r="D153" s="107" t="s">
        <v>200</v>
      </c>
      <c r="E153" s="14">
        <f>E154+E157</f>
        <v>3044.9</v>
      </c>
      <c r="F153" s="14">
        <f>F154+F157</f>
        <v>0</v>
      </c>
      <c r="G153" s="14">
        <f>G154+G157</f>
        <v>0</v>
      </c>
    </row>
    <row r="154" spans="1:7" ht="47.25">
      <c r="A154" s="108" t="s">
        <v>60</v>
      </c>
      <c r="B154" s="108">
        <v>3620120180</v>
      </c>
      <c r="C154" s="108"/>
      <c r="D154" s="107" t="s">
        <v>201</v>
      </c>
      <c r="E154" s="14">
        <f t="shared" ref="E154:G155" si="58">E155</f>
        <v>2171.8000000000002</v>
      </c>
      <c r="F154" s="14">
        <f t="shared" si="58"/>
        <v>0</v>
      </c>
      <c r="G154" s="14">
        <f t="shared" si="58"/>
        <v>0</v>
      </c>
    </row>
    <row r="155" spans="1:7" ht="31.5">
      <c r="A155" s="108" t="s">
        <v>60</v>
      </c>
      <c r="B155" s="108">
        <v>3620120180</v>
      </c>
      <c r="C155" s="108" t="s">
        <v>69</v>
      </c>
      <c r="D155" s="107" t="s">
        <v>95</v>
      </c>
      <c r="E155" s="14">
        <f t="shared" si="58"/>
        <v>2171.8000000000002</v>
      </c>
      <c r="F155" s="14">
        <f t="shared" si="58"/>
        <v>0</v>
      </c>
      <c r="G155" s="14">
        <f t="shared" si="58"/>
        <v>0</v>
      </c>
    </row>
    <row r="156" spans="1:7" ht="31.5">
      <c r="A156" s="108" t="s">
        <v>60</v>
      </c>
      <c r="B156" s="108">
        <v>3620120180</v>
      </c>
      <c r="C156" s="108">
        <v>240</v>
      </c>
      <c r="D156" s="107" t="s">
        <v>216</v>
      </c>
      <c r="E156" s="14">
        <f>'№ 4 ведом'!F101</f>
        <v>2171.8000000000002</v>
      </c>
      <c r="F156" s="14">
        <f>'№ 4 ведом'!G101</f>
        <v>0</v>
      </c>
      <c r="G156" s="14">
        <f>'№ 4 ведом'!H101</f>
        <v>0</v>
      </c>
    </row>
    <row r="157" spans="1:7" ht="47.25">
      <c r="A157" s="108" t="s">
        <v>60</v>
      </c>
      <c r="B157" s="108">
        <v>3620120520</v>
      </c>
      <c r="C157" s="108"/>
      <c r="D157" s="107" t="s">
        <v>206</v>
      </c>
      <c r="E157" s="14">
        <f t="shared" ref="E157:G158" si="59">E158</f>
        <v>873.1</v>
      </c>
      <c r="F157" s="14">
        <f t="shared" si="59"/>
        <v>0</v>
      </c>
      <c r="G157" s="14">
        <f t="shared" si="59"/>
        <v>0</v>
      </c>
    </row>
    <row r="158" spans="1:7" ht="31.5">
      <c r="A158" s="108" t="s">
        <v>60</v>
      </c>
      <c r="B158" s="108">
        <v>3620120520</v>
      </c>
      <c r="C158" s="108" t="s">
        <v>69</v>
      </c>
      <c r="D158" s="107" t="s">
        <v>95</v>
      </c>
      <c r="E158" s="14">
        <f t="shared" si="59"/>
        <v>873.1</v>
      </c>
      <c r="F158" s="14">
        <f t="shared" si="59"/>
        <v>0</v>
      </c>
      <c r="G158" s="14">
        <f t="shared" si="59"/>
        <v>0</v>
      </c>
    </row>
    <row r="159" spans="1:7" ht="31.5">
      <c r="A159" s="108" t="s">
        <v>60</v>
      </c>
      <c r="B159" s="108">
        <v>3620120520</v>
      </c>
      <c r="C159" s="108">
        <v>240</v>
      </c>
      <c r="D159" s="107" t="s">
        <v>216</v>
      </c>
      <c r="E159" s="14">
        <f>'№ 4 ведом'!F104</f>
        <v>873.1</v>
      </c>
      <c r="F159" s="14">
        <f>'№ 4 ведом'!G104</f>
        <v>0</v>
      </c>
      <c r="G159" s="14">
        <f>'№ 4 ведом'!H104</f>
        <v>0</v>
      </c>
    </row>
    <row r="160" spans="1:7" ht="47.25">
      <c r="A160" s="108" t="s">
        <v>60</v>
      </c>
      <c r="B160" s="108">
        <v>3620200000</v>
      </c>
      <c r="C160" s="108"/>
      <c r="D160" s="107" t="s">
        <v>202</v>
      </c>
      <c r="E160" s="14">
        <f t="shared" ref="E160:G162" si="60">E161</f>
        <v>555.20000000000005</v>
      </c>
      <c r="F160" s="14">
        <f t="shared" si="60"/>
        <v>0</v>
      </c>
      <c r="G160" s="14">
        <f t="shared" si="60"/>
        <v>0</v>
      </c>
    </row>
    <row r="161" spans="1:7" ht="31.5">
      <c r="A161" s="108" t="s">
        <v>60</v>
      </c>
      <c r="B161" s="108">
        <v>3620220530</v>
      </c>
      <c r="C161" s="108"/>
      <c r="D161" s="107" t="s">
        <v>203</v>
      </c>
      <c r="E161" s="14">
        <f t="shared" si="60"/>
        <v>555.20000000000005</v>
      </c>
      <c r="F161" s="14">
        <f t="shared" si="60"/>
        <v>0</v>
      </c>
      <c r="G161" s="14">
        <f t="shared" si="60"/>
        <v>0</v>
      </c>
    </row>
    <row r="162" spans="1:7" ht="31.5">
      <c r="A162" s="108" t="s">
        <v>60</v>
      </c>
      <c r="B162" s="108">
        <v>3620220530</v>
      </c>
      <c r="C162" s="108" t="s">
        <v>69</v>
      </c>
      <c r="D162" s="107" t="s">
        <v>95</v>
      </c>
      <c r="E162" s="14">
        <f t="shared" si="60"/>
        <v>555.20000000000005</v>
      </c>
      <c r="F162" s="14">
        <f t="shared" si="60"/>
        <v>0</v>
      </c>
      <c r="G162" s="14">
        <f t="shared" si="60"/>
        <v>0</v>
      </c>
    </row>
    <row r="163" spans="1:7" ht="31.5">
      <c r="A163" s="108" t="s">
        <v>60</v>
      </c>
      <c r="B163" s="108">
        <v>3620220530</v>
      </c>
      <c r="C163" s="108">
        <v>240</v>
      </c>
      <c r="D163" s="107" t="s">
        <v>216</v>
      </c>
      <c r="E163" s="14">
        <f>'№ 4 ведом'!F108</f>
        <v>555.20000000000005</v>
      </c>
      <c r="F163" s="14">
        <f>'№ 4 ведом'!G108</f>
        <v>0</v>
      </c>
      <c r="G163" s="14">
        <f>'№ 4 ведом'!H108</f>
        <v>0</v>
      </c>
    </row>
    <row r="164" spans="1:7" ht="47.25">
      <c r="A164" s="108" t="s">
        <v>60</v>
      </c>
      <c r="B164" s="108">
        <v>3630000000</v>
      </c>
      <c r="C164" s="1"/>
      <c r="D164" s="26" t="s">
        <v>193</v>
      </c>
      <c r="E164" s="14">
        <f>E165</f>
        <v>360</v>
      </c>
      <c r="F164" s="14">
        <f>F165</f>
        <v>26.5</v>
      </c>
      <c r="G164" s="14">
        <f>G165</f>
        <v>26.5</v>
      </c>
    </row>
    <row r="165" spans="1:7" ht="31.5">
      <c r="A165" s="108" t="s">
        <v>60</v>
      </c>
      <c r="B165" s="108">
        <v>3630200000</v>
      </c>
      <c r="C165" s="1"/>
      <c r="D165" s="26" t="s">
        <v>196</v>
      </c>
      <c r="E165" s="14">
        <f>E166</f>
        <v>360</v>
      </c>
      <c r="F165" s="14">
        <f t="shared" ref="F165:G167" si="61">F166</f>
        <v>26.5</v>
      </c>
      <c r="G165" s="14">
        <f t="shared" si="61"/>
        <v>26.5</v>
      </c>
    </row>
    <row r="166" spans="1:7">
      <c r="A166" s="108" t="s">
        <v>60</v>
      </c>
      <c r="B166" s="108">
        <v>3630220250</v>
      </c>
      <c r="C166" s="1"/>
      <c r="D166" s="26" t="s">
        <v>194</v>
      </c>
      <c r="E166" s="14">
        <f>E167</f>
        <v>360</v>
      </c>
      <c r="F166" s="14">
        <f t="shared" si="61"/>
        <v>26.5</v>
      </c>
      <c r="G166" s="14">
        <f t="shared" si="61"/>
        <v>26.5</v>
      </c>
    </row>
    <row r="167" spans="1:7" ht="31.5">
      <c r="A167" s="108" t="s">
        <v>60</v>
      </c>
      <c r="B167" s="108">
        <v>3630220250</v>
      </c>
      <c r="C167" s="108" t="s">
        <v>69</v>
      </c>
      <c r="D167" s="107" t="s">
        <v>95</v>
      </c>
      <c r="E167" s="14">
        <f>E168</f>
        <v>360</v>
      </c>
      <c r="F167" s="14">
        <f t="shared" si="61"/>
        <v>26.5</v>
      </c>
      <c r="G167" s="14">
        <f t="shared" si="61"/>
        <v>26.5</v>
      </c>
    </row>
    <row r="168" spans="1:7" ht="31.5">
      <c r="A168" s="108" t="s">
        <v>60</v>
      </c>
      <c r="B168" s="108">
        <v>3630220250</v>
      </c>
      <c r="C168" s="108">
        <v>240</v>
      </c>
      <c r="D168" s="107" t="s">
        <v>216</v>
      </c>
      <c r="E168" s="14">
        <f>'№ 4 ведом'!F113</f>
        <v>360</v>
      </c>
      <c r="F168" s="14">
        <f>'№ 4 ведом'!G113</f>
        <v>26.5</v>
      </c>
      <c r="G168" s="14">
        <f>'№ 4 ведом'!H113</f>
        <v>26.5</v>
      </c>
    </row>
    <row r="169" spans="1:7">
      <c r="A169" s="108" t="s">
        <v>60</v>
      </c>
      <c r="B169" s="108">
        <v>9900000000</v>
      </c>
      <c r="C169" s="108"/>
      <c r="D169" s="107" t="s">
        <v>105</v>
      </c>
      <c r="E169" s="14">
        <f>E176+E170</f>
        <v>39654.5</v>
      </c>
      <c r="F169" s="14">
        <f t="shared" ref="F169:G169" si="62">F176+F170</f>
        <v>37514.5</v>
      </c>
      <c r="G169" s="14">
        <f t="shared" si="62"/>
        <v>38382.799999999996</v>
      </c>
    </row>
    <row r="170" spans="1:7" ht="31.5">
      <c r="A170" s="108" t="s">
        <v>60</v>
      </c>
      <c r="B170" s="108">
        <v>9930000000</v>
      </c>
      <c r="C170" s="108"/>
      <c r="D170" s="30" t="s">
        <v>154</v>
      </c>
      <c r="E170" s="14">
        <f>E171</f>
        <v>74.599999999999994</v>
      </c>
      <c r="F170" s="14">
        <f t="shared" ref="F170:G174" si="63">F171</f>
        <v>0</v>
      </c>
      <c r="G170" s="14">
        <f t="shared" si="63"/>
        <v>0</v>
      </c>
    </row>
    <row r="171" spans="1:7" ht="31.5">
      <c r="A171" s="108" t="s">
        <v>60</v>
      </c>
      <c r="B171" s="108">
        <v>9930020490</v>
      </c>
      <c r="C171" s="108"/>
      <c r="D171" s="30" t="s">
        <v>438</v>
      </c>
      <c r="E171" s="14">
        <f>E174+E172</f>
        <v>74.599999999999994</v>
      </c>
      <c r="F171" s="14">
        <f t="shared" ref="F171:G171" si="64">F174+F172</f>
        <v>0</v>
      </c>
      <c r="G171" s="14">
        <f t="shared" si="64"/>
        <v>0</v>
      </c>
    </row>
    <row r="172" spans="1:7" ht="31.5">
      <c r="A172" s="108" t="s">
        <v>60</v>
      </c>
      <c r="B172" s="108">
        <v>9930020490</v>
      </c>
      <c r="C172" s="108" t="s">
        <v>69</v>
      </c>
      <c r="D172" s="107" t="s">
        <v>95</v>
      </c>
      <c r="E172" s="14">
        <f>E173</f>
        <v>27.700000000000003</v>
      </c>
      <c r="F172" s="14">
        <f t="shared" ref="F172:G172" si="65">F173</f>
        <v>0</v>
      </c>
      <c r="G172" s="14">
        <f t="shared" si="65"/>
        <v>0</v>
      </c>
    </row>
    <row r="173" spans="1:7" ht="31.5">
      <c r="A173" s="108" t="s">
        <v>60</v>
      </c>
      <c r="B173" s="108">
        <v>9930020490</v>
      </c>
      <c r="C173" s="108">
        <v>240</v>
      </c>
      <c r="D173" s="107" t="s">
        <v>216</v>
      </c>
      <c r="E173" s="14">
        <f>'№ 4 ведом'!F701</f>
        <v>27.700000000000003</v>
      </c>
      <c r="F173" s="14">
        <f>'№ 4 ведом'!G701</f>
        <v>0</v>
      </c>
      <c r="G173" s="14">
        <f>'№ 4 ведом'!H701</f>
        <v>0</v>
      </c>
    </row>
    <row r="174" spans="1:7">
      <c r="A174" s="108" t="s">
        <v>60</v>
      </c>
      <c r="B174" s="108">
        <v>9930020490</v>
      </c>
      <c r="C174" s="8" t="s">
        <v>70</v>
      </c>
      <c r="D174" s="22" t="s">
        <v>71</v>
      </c>
      <c r="E174" s="14">
        <f>E175</f>
        <v>46.9</v>
      </c>
      <c r="F174" s="14">
        <f t="shared" si="63"/>
        <v>0</v>
      </c>
      <c r="G174" s="14">
        <f t="shared" si="63"/>
        <v>0</v>
      </c>
    </row>
    <row r="175" spans="1:7">
      <c r="A175" s="108" t="s">
        <v>60</v>
      </c>
      <c r="B175" s="108">
        <v>9930020490</v>
      </c>
      <c r="C175" s="1" t="s">
        <v>445</v>
      </c>
      <c r="D175" s="65" t="s">
        <v>446</v>
      </c>
      <c r="E175" s="14">
        <f>'№ 4 ведом'!F703+'№ 4 ведом'!F671+'№ 4 ведом'!F118</f>
        <v>46.9</v>
      </c>
      <c r="F175" s="14">
        <f>'№ 4 ведом'!G703+'№ 4 ведом'!G671+'№ 4 ведом'!G118</f>
        <v>0</v>
      </c>
      <c r="G175" s="14">
        <f>'№ 4 ведом'!H703+'№ 4 ведом'!H671+'№ 4 ведом'!H118</f>
        <v>0</v>
      </c>
    </row>
    <row r="176" spans="1:7" ht="31.5">
      <c r="A176" s="108" t="s">
        <v>60</v>
      </c>
      <c r="B176" s="108">
        <v>9990000000</v>
      </c>
      <c r="C176" s="108"/>
      <c r="D176" s="107" t="s">
        <v>145</v>
      </c>
      <c r="E176" s="14">
        <f>E177+E187</f>
        <v>39579.9</v>
      </c>
      <c r="F176" s="14">
        <f>F177+F187</f>
        <v>37514.5</v>
      </c>
      <c r="G176" s="14">
        <f>G177+G187</f>
        <v>38382.799999999996</v>
      </c>
    </row>
    <row r="177" spans="1:7" ht="31.5">
      <c r="A177" s="108" t="s">
        <v>60</v>
      </c>
      <c r="B177" s="108">
        <v>9990200000</v>
      </c>
      <c r="C177" s="30"/>
      <c r="D177" s="107" t="s">
        <v>117</v>
      </c>
      <c r="E177" s="14">
        <f>E178+E181+E184</f>
        <v>9249.1</v>
      </c>
      <c r="F177" s="14">
        <f t="shared" ref="F177:G177" si="66">F178+F181+F184</f>
        <v>9087.2999999999993</v>
      </c>
      <c r="G177" s="14">
        <f t="shared" si="66"/>
        <v>9089.9</v>
      </c>
    </row>
    <row r="178" spans="1:7" ht="78.75">
      <c r="A178" s="108" t="s">
        <v>60</v>
      </c>
      <c r="B178" s="108">
        <v>9990210540</v>
      </c>
      <c r="C178" s="108"/>
      <c r="D178" s="107" t="s">
        <v>151</v>
      </c>
      <c r="E178" s="14">
        <f>E179</f>
        <v>491.4</v>
      </c>
      <c r="F178" s="14">
        <f t="shared" ref="F178:G179" si="67">F179</f>
        <v>493.8</v>
      </c>
      <c r="G178" s="14">
        <f t="shared" si="67"/>
        <v>496.4</v>
      </c>
    </row>
    <row r="179" spans="1:7" ht="63">
      <c r="A179" s="108" t="s">
        <v>60</v>
      </c>
      <c r="B179" s="108">
        <v>9990210540</v>
      </c>
      <c r="C179" s="108" t="s">
        <v>68</v>
      </c>
      <c r="D179" s="107" t="s">
        <v>1</v>
      </c>
      <c r="E179" s="14">
        <f>E180</f>
        <v>491.4</v>
      </c>
      <c r="F179" s="14">
        <f t="shared" si="67"/>
        <v>493.8</v>
      </c>
      <c r="G179" s="14">
        <f t="shared" si="67"/>
        <v>496.4</v>
      </c>
    </row>
    <row r="180" spans="1:7" ht="31.5">
      <c r="A180" s="108" t="s">
        <v>60</v>
      </c>
      <c r="B180" s="108">
        <v>9990210540</v>
      </c>
      <c r="C180" s="108">
        <v>120</v>
      </c>
      <c r="D180" s="107" t="s">
        <v>217</v>
      </c>
      <c r="E180" s="14">
        <f>'№ 4 ведом'!F123</f>
        <v>491.4</v>
      </c>
      <c r="F180" s="14">
        <f>'№ 4 ведом'!G123</f>
        <v>493.8</v>
      </c>
      <c r="G180" s="14">
        <f>'№ 4 ведом'!H123</f>
        <v>496.4</v>
      </c>
    </row>
    <row r="181" spans="1:7" ht="47.25">
      <c r="A181" s="108" t="s">
        <v>60</v>
      </c>
      <c r="B181" s="108">
        <v>9990225000</v>
      </c>
      <c r="C181" s="108"/>
      <c r="D181" s="107" t="s">
        <v>118</v>
      </c>
      <c r="E181" s="14">
        <f>E182</f>
        <v>8623</v>
      </c>
      <c r="F181" s="14">
        <f t="shared" ref="F181:G182" si="68">F182</f>
        <v>8593.5</v>
      </c>
      <c r="G181" s="14">
        <f t="shared" si="68"/>
        <v>8593.5</v>
      </c>
    </row>
    <row r="182" spans="1:7" ht="63">
      <c r="A182" s="108" t="s">
        <v>60</v>
      </c>
      <c r="B182" s="108">
        <v>9990225000</v>
      </c>
      <c r="C182" s="108" t="s">
        <v>68</v>
      </c>
      <c r="D182" s="107" t="s">
        <v>1</v>
      </c>
      <c r="E182" s="14">
        <f>E183</f>
        <v>8623</v>
      </c>
      <c r="F182" s="14">
        <f t="shared" si="68"/>
        <v>8593.5</v>
      </c>
      <c r="G182" s="14">
        <f t="shared" si="68"/>
        <v>8593.5</v>
      </c>
    </row>
    <row r="183" spans="1:7" ht="31.5">
      <c r="A183" s="108" t="s">
        <v>60</v>
      </c>
      <c r="B183" s="108">
        <v>9990225000</v>
      </c>
      <c r="C183" s="108">
        <v>120</v>
      </c>
      <c r="D183" s="107" t="s">
        <v>217</v>
      </c>
      <c r="E183" s="14">
        <f>'№ 4 ведом'!F708</f>
        <v>8623</v>
      </c>
      <c r="F183" s="14">
        <f>'№ 4 ведом'!G708</f>
        <v>8593.5</v>
      </c>
      <c r="G183" s="14">
        <f>'№ 4 ведом'!H708</f>
        <v>8593.5</v>
      </c>
    </row>
    <row r="184" spans="1:7" ht="47.25">
      <c r="A184" s="108" t="s">
        <v>60</v>
      </c>
      <c r="B184" s="92">
        <v>9990255492</v>
      </c>
      <c r="C184" s="108"/>
      <c r="D184" s="107" t="s">
        <v>804</v>
      </c>
      <c r="E184" s="14">
        <f>E185</f>
        <v>134.69999999999999</v>
      </c>
      <c r="F184" s="14">
        <f t="shared" ref="F184:G185" si="69">F185</f>
        <v>0</v>
      </c>
      <c r="G184" s="14">
        <f t="shared" si="69"/>
        <v>0</v>
      </c>
    </row>
    <row r="185" spans="1:7" ht="63">
      <c r="A185" s="108" t="s">
        <v>60</v>
      </c>
      <c r="B185" s="92">
        <v>9990255492</v>
      </c>
      <c r="C185" s="108" t="s">
        <v>68</v>
      </c>
      <c r="D185" s="107" t="s">
        <v>1</v>
      </c>
      <c r="E185" s="14">
        <f>E186</f>
        <v>134.69999999999999</v>
      </c>
      <c r="F185" s="14">
        <f t="shared" si="69"/>
        <v>0</v>
      </c>
      <c r="G185" s="14">
        <f t="shared" si="69"/>
        <v>0</v>
      </c>
    </row>
    <row r="186" spans="1:7" ht="31.5">
      <c r="A186" s="108" t="s">
        <v>60</v>
      </c>
      <c r="B186" s="92">
        <v>9990255492</v>
      </c>
      <c r="C186" s="108">
        <v>120</v>
      </c>
      <c r="D186" s="107" t="s">
        <v>217</v>
      </c>
      <c r="E186" s="14">
        <f>'№ 4 ведом'!F711</f>
        <v>134.69999999999999</v>
      </c>
      <c r="F186" s="14">
        <f>'№ 4 ведом'!G711</f>
        <v>0</v>
      </c>
      <c r="G186" s="14">
        <f>'№ 4 ведом'!H711</f>
        <v>0</v>
      </c>
    </row>
    <row r="187" spans="1:7" ht="31.5">
      <c r="A187" s="108" t="s">
        <v>60</v>
      </c>
      <c r="B187" s="108">
        <v>9990300000</v>
      </c>
      <c r="C187" s="108"/>
      <c r="D187" s="107" t="s">
        <v>156</v>
      </c>
      <c r="E187" s="14">
        <f>E188</f>
        <v>30330.799999999999</v>
      </c>
      <c r="F187" s="14">
        <f t="shared" ref="F187:G187" si="70">F188</f>
        <v>28427.199999999997</v>
      </c>
      <c r="G187" s="14">
        <f t="shared" si="70"/>
        <v>29292.899999999998</v>
      </c>
    </row>
    <row r="188" spans="1:7" ht="31.5">
      <c r="A188" s="108" t="s">
        <v>60</v>
      </c>
      <c r="B188" s="108">
        <v>9990327000</v>
      </c>
      <c r="C188" s="108"/>
      <c r="D188" s="107" t="s">
        <v>320</v>
      </c>
      <c r="E188" s="14">
        <f>E189+E191+E193</f>
        <v>30330.799999999999</v>
      </c>
      <c r="F188" s="14">
        <f t="shared" ref="F188:G188" si="71">F189+F191+F193</f>
        <v>28427.199999999997</v>
      </c>
      <c r="G188" s="14">
        <f t="shared" si="71"/>
        <v>29292.899999999998</v>
      </c>
    </row>
    <row r="189" spans="1:7" ht="63">
      <c r="A189" s="108" t="s">
        <v>60</v>
      </c>
      <c r="B189" s="108">
        <v>9990327000</v>
      </c>
      <c r="C189" s="108" t="s">
        <v>68</v>
      </c>
      <c r="D189" s="107" t="s">
        <v>1</v>
      </c>
      <c r="E189" s="14">
        <f>E190</f>
        <v>22568</v>
      </c>
      <c r="F189" s="14">
        <f t="shared" ref="F189:G189" si="72">F190</f>
        <v>23399.599999999999</v>
      </c>
      <c r="G189" s="14">
        <f t="shared" si="72"/>
        <v>24265.3</v>
      </c>
    </row>
    <row r="190" spans="1:7">
      <c r="A190" s="108" t="s">
        <v>60</v>
      </c>
      <c r="B190" s="108">
        <v>9990327000</v>
      </c>
      <c r="C190" s="108">
        <v>110</v>
      </c>
      <c r="D190" s="26" t="s">
        <v>157</v>
      </c>
      <c r="E190" s="14">
        <f>'№ 4 ведом'!F127</f>
        <v>22568</v>
      </c>
      <c r="F190" s="14">
        <f>'№ 4 ведом'!G127</f>
        <v>23399.599999999999</v>
      </c>
      <c r="G190" s="14">
        <f>'№ 4 ведом'!H127</f>
        <v>24265.3</v>
      </c>
    </row>
    <row r="191" spans="1:7" ht="31.5">
      <c r="A191" s="108" t="s">
        <v>60</v>
      </c>
      <c r="B191" s="108">
        <v>9990327000</v>
      </c>
      <c r="C191" s="108" t="s">
        <v>69</v>
      </c>
      <c r="D191" s="107" t="s">
        <v>95</v>
      </c>
      <c r="E191" s="14">
        <f>E192</f>
        <v>7735.2</v>
      </c>
      <c r="F191" s="14">
        <f t="shared" ref="F191:G191" si="73">F192</f>
        <v>5000</v>
      </c>
      <c r="G191" s="14">
        <f t="shared" si="73"/>
        <v>5000</v>
      </c>
    </row>
    <row r="192" spans="1:7" ht="31.5">
      <c r="A192" s="108" t="s">
        <v>60</v>
      </c>
      <c r="B192" s="108">
        <v>9990327000</v>
      </c>
      <c r="C192" s="108">
        <v>240</v>
      </c>
      <c r="D192" s="107" t="s">
        <v>216</v>
      </c>
      <c r="E192" s="14">
        <f>'№ 4 ведом'!F129</f>
        <v>7735.2</v>
      </c>
      <c r="F192" s="14">
        <f>'№ 4 ведом'!G129</f>
        <v>5000</v>
      </c>
      <c r="G192" s="14">
        <f>'№ 4 ведом'!H129</f>
        <v>5000</v>
      </c>
    </row>
    <row r="193" spans="1:7">
      <c r="A193" s="108" t="s">
        <v>60</v>
      </c>
      <c r="B193" s="108">
        <v>9990327000</v>
      </c>
      <c r="C193" s="108" t="s">
        <v>70</v>
      </c>
      <c r="D193" s="107" t="s">
        <v>71</v>
      </c>
      <c r="E193" s="14">
        <f>E194</f>
        <v>27.6</v>
      </c>
      <c r="F193" s="14">
        <f t="shared" ref="F193:G193" si="74">F194</f>
        <v>27.6</v>
      </c>
      <c r="G193" s="14">
        <f t="shared" si="74"/>
        <v>27.6</v>
      </c>
    </row>
    <row r="194" spans="1:7">
      <c r="A194" s="108" t="s">
        <v>60</v>
      </c>
      <c r="B194" s="108">
        <v>9990327000</v>
      </c>
      <c r="C194" s="108">
        <v>850</v>
      </c>
      <c r="D194" s="107" t="s">
        <v>100</v>
      </c>
      <c r="E194" s="14">
        <f>'№ 4 ведом'!F131</f>
        <v>27.6</v>
      </c>
      <c r="F194" s="14">
        <f>'№ 4 ведом'!G131</f>
        <v>27.6</v>
      </c>
      <c r="G194" s="14">
        <f>'№ 4 ведом'!H131</f>
        <v>27.6</v>
      </c>
    </row>
    <row r="195" spans="1:7" ht="24" customHeight="1">
      <c r="A195" s="116" t="s">
        <v>55</v>
      </c>
      <c r="B195" s="116" t="s">
        <v>66</v>
      </c>
      <c r="C195" s="116" t="s">
        <v>66</v>
      </c>
      <c r="D195" s="13" t="s">
        <v>24</v>
      </c>
      <c r="E195" s="117">
        <f>E196+E203</f>
        <v>15278.400000000001</v>
      </c>
      <c r="F195" s="117">
        <f t="shared" ref="F195:G195" si="75">F196+F203</f>
        <v>15284.100000000002</v>
      </c>
      <c r="G195" s="117">
        <f t="shared" si="75"/>
        <v>15752.000000000002</v>
      </c>
    </row>
    <row r="196" spans="1:7">
      <c r="A196" s="108" t="s">
        <v>75</v>
      </c>
      <c r="B196" s="108" t="s">
        <v>66</v>
      </c>
      <c r="C196" s="108" t="s">
        <v>66</v>
      </c>
      <c r="D196" s="107" t="s">
        <v>76</v>
      </c>
      <c r="E196" s="14">
        <f t="shared" ref="E196:E201" si="76">E197</f>
        <v>1705.2</v>
      </c>
      <c r="F196" s="14">
        <f t="shared" ref="F196:G201" si="77">F197</f>
        <v>1705.2</v>
      </c>
      <c r="G196" s="14">
        <f t="shared" si="77"/>
        <v>1705.2</v>
      </c>
    </row>
    <row r="197" spans="1:7">
      <c r="A197" s="108" t="s">
        <v>75</v>
      </c>
      <c r="B197" s="108">
        <v>9900000000</v>
      </c>
      <c r="C197" s="108"/>
      <c r="D197" s="107" t="s">
        <v>105</v>
      </c>
      <c r="E197" s="14">
        <f t="shared" si="76"/>
        <v>1705.2</v>
      </c>
      <c r="F197" s="14">
        <f t="shared" si="77"/>
        <v>1705.2</v>
      </c>
      <c r="G197" s="14">
        <f t="shared" si="77"/>
        <v>1705.2</v>
      </c>
    </row>
    <row r="198" spans="1:7" ht="31.5">
      <c r="A198" s="108" t="s">
        <v>75</v>
      </c>
      <c r="B198" s="108">
        <v>9990000000</v>
      </c>
      <c r="C198" s="108"/>
      <c r="D198" s="107" t="s">
        <v>145</v>
      </c>
      <c r="E198" s="14">
        <f t="shared" si="76"/>
        <v>1705.2</v>
      </c>
      <c r="F198" s="14">
        <f t="shared" si="77"/>
        <v>1705.2</v>
      </c>
      <c r="G198" s="14">
        <f t="shared" si="77"/>
        <v>1705.2</v>
      </c>
    </row>
    <row r="199" spans="1:7" ht="31.5">
      <c r="A199" s="108" t="s">
        <v>75</v>
      </c>
      <c r="B199" s="108">
        <v>9990200000</v>
      </c>
      <c r="C199" s="30"/>
      <c r="D199" s="107" t="s">
        <v>117</v>
      </c>
      <c r="E199" s="14">
        <f t="shared" si="76"/>
        <v>1705.2</v>
      </c>
      <c r="F199" s="14">
        <f t="shared" si="77"/>
        <v>1705.2</v>
      </c>
      <c r="G199" s="14">
        <f t="shared" si="77"/>
        <v>1705.2</v>
      </c>
    </row>
    <row r="200" spans="1:7" ht="31.5">
      <c r="A200" s="108" t="s">
        <v>75</v>
      </c>
      <c r="B200" s="108">
        <v>9990259302</v>
      </c>
      <c r="C200" s="108"/>
      <c r="D200" s="107" t="s">
        <v>158</v>
      </c>
      <c r="E200" s="99">
        <f t="shared" si="76"/>
        <v>1705.2</v>
      </c>
      <c r="F200" s="99">
        <f t="shared" si="77"/>
        <v>1705.2</v>
      </c>
      <c r="G200" s="99">
        <f t="shared" si="77"/>
        <v>1705.2</v>
      </c>
    </row>
    <row r="201" spans="1:7" ht="63">
      <c r="A201" s="108" t="s">
        <v>75</v>
      </c>
      <c r="B201" s="108">
        <v>9990259302</v>
      </c>
      <c r="C201" s="108" t="s">
        <v>68</v>
      </c>
      <c r="D201" s="107" t="s">
        <v>1</v>
      </c>
      <c r="E201" s="14">
        <f t="shared" si="76"/>
        <v>1705.2</v>
      </c>
      <c r="F201" s="14">
        <f t="shared" si="77"/>
        <v>1705.2</v>
      </c>
      <c r="G201" s="14">
        <f t="shared" si="77"/>
        <v>1705.2</v>
      </c>
    </row>
    <row r="202" spans="1:7" ht="31.5">
      <c r="A202" s="108" t="s">
        <v>75</v>
      </c>
      <c r="B202" s="108">
        <v>9990259302</v>
      </c>
      <c r="C202" s="108">
        <v>120</v>
      </c>
      <c r="D202" s="107" t="s">
        <v>217</v>
      </c>
      <c r="E202" s="14">
        <f>'№ 4 ведом'!F139</f>
        <v>1705.2</v>
      </c>
      <c r="F202" s="14">
        <f>'№ 4 ведом'!G139</f>
        <v>1705.2</v>
      </c>
      <c r="G202" s="14">
        <f>'№ 4 ведом'!H139</f>
        <v>1705.2</v>
      </c>
    </row>
    <row r="203" spans="1:7" ht="31.5">
      <c r="A203" s="58" t="s">
        <v>249</v>
      </c>
      <c r="B203" s="108"/>
      <c r="C203" s="108"/>
      <c r="D203" s="118" t="s">
        <v>250</v>
      </c>
      <c r="E203" s="14">
        <f>E204</f>
        <v>13573.2</v>
      </c>
      <c r="F203" s="14">
        <f t="shared" ref="F203:G203" si="78">F204</f>
        <v>13578.900000000001</v>
      </c>
      <c r="G203" s="14">
        <f t="shared" si="78"/>
        <v>14046.800000000001</v>
      </c>
    </row>
    <row r="204" spans="1:7" ht="31.5">
      <c r="A204" s="58" t="s">
        <v>249</v>
      </c>
      <c r="B204" s="108">
        <v>3500000000</v>
      </c>
      <c r="C204" s="108"/>
      <c r="D204" s="107" t="s">
        <v>330</v>
      </c>
      <c r="E204" s="14">
        <f>E205+E214</f>
        <v>13573.2</v>
      </c>
      <c r="F204" s="14">
        <f>F205+F214</f>
        <v>13578.900000000001</v>
      </c>
      <c r="G204" s="14">
        <f>G205+G214</f>
        <v>14046.800000000001</v>
      </c>
    </row>
    <row r="205" spans="1:7">
      <c r="A205" s="58" t="s">
        <v>249</v>
      </c>
      <c r="B205" s="108">
        <v>3510000000</v>
      </c>
      <c r="C205" s="108"/>
      <c r="D205" s="107" t="s">
        <v>150</v>
      </c>
      <c r="E205" s="14">
        <f>E206+E210</f>
        <v>13355.7</v>
      </c>
      <c r="F205" s="14">
        <f t="shared" ref="F205:G205" si="79">F206+F210</f>
        <v>13361.400000000001</v>
      </c>
      <c r="G205" s="14">
        <f t="shared" si="79"/>
        <v>13829.300000000001</v>
      </c>
    </row>
    <row r="206" spans="1:7" ht="47.25">
      <c r="A206" s="58" t="s">
        <v>249</v>
      </c>
      <c r="B206" s="108">
        <v>3510100000</v>
      </c>
      <c r="C206" s="108"/>
      <c r="D206" s="107" t="s">
        <v>172</v>
      </c>
      <c r="E206" s="14">
        <f t="shared" ref="E206:G208" si="80">E207</f>
        <v>13303.5</v>
      </c>
      <c r="F206" s="14">
        <f t="shared" si="80"/>
        <v>13309.2</v>
      </c>
      <c r="G206" s="14">
        <f t="shared" si="80"/>
        <v>13777.1</v>
      </c>
    </row>
    <row r="207" spans="1:7" ht="31.5">
      <c r="A207" s="58" t="s">
        <v>249</v>
      </c>
      <c r="B207" s="108">
        <v>3510120010</v>
      </c>
      <c r="C207" s="108"/>
      <c r="D207" s="107" t="s">
        <v>123</v>
      </c>
      <c r="E207" s="14">
        <f t="shared" si="80"/>
        <v>13303.5</v>
      </c>
      <c r="F207" s="14">
        <f t="shared" si="80"/>
        <v>13309.2</v>
      </c>
      <c r="G207" s="14">
        <f t="shared" si="80"/>
        <v>13777.1</v>
      </c>
    </row>
    <row r="208" spans="1:7" ht="31.5">
      <c r="A208" s="58" t="s">
        <v>249</v>
      </c>
      <c r="B208" s="108">
        <v>3510120010</v>
      </c>
      <c r="C208" s="108">
        <v>600</v>
      </c>
      <c r="D208" s="107" t="s">
        <v>83</v>
      </c>
      <c r="E208" s="14">
        <f t="shared" si="80"/>
        <v>13303.5</v>
      </c>
      <c r="F208" s="14">
        <f t="shared" si="80"/>
        <v>13309.2</v>
      </c>
      <c r="G208" s="14">
        <f t="shared" si="80"/>
        <v>13777.1</v>
      </c>
    </row>
    <row r="209" spans="1:7">
      <c r="A209" s="58" t="s">
        <v>249</v>
      </c>
      <c r="B209" s="108">
        <v>3510120010</v>
      </c>
      <c r="C209" s="108">
        <v>610</v>
      </c>
      <c r="D209" s="107" t="s">
        <v>104</v>
      </c>
      <c r="E209" s="14">
        <f>'№ 4 ведом'!F146</f>
        <v>13303.5</v>
      </c>
      <c r="F209" s="14">
        <f>'№ 4 ведом'!G146</f>
        <v>13309.2</v>
      </c>
      <c r="G209" s="14">
        <f>'№ 4 ведом'!H146</f>
        <v>13777.1</v>
      </c>
    </row>
    <row r="210" spans="1:7" ht="31.5">
      <c r="A210" s="58" t="s">
        <v>249</v>
      </c>
      <c r="B210" s="108">
        <v>3510300000</v>
      </c>
      <c r="C210" s="108"/>
      <c r="D210" s="107" t="s">
        <v>283</v>
      </c>
      <c r="E210" s="14">
        <f>E211</f>
        <v>52.2</v>
      </c>
      <c r="F210" s="14">
        <f t="shared" ref="F210:G212" si="81">F211</f>
        <v>52.2</v>
      </c>
      <c r="G210" s="14">
        <f t="shared" si="81"/>
        <v>52.2</v>
      </c>
    </row>
    <row r="211" spans="1:7">
      <c r="A211" s="58" t="s">
        <v>249</v>
      </c>
      <c r="B211" s="108">
        <v>3510320300</v>
      </c>
      <c r="C211" s="108"/>
      <c r="D211" s="107" t="s">
        <v>284</v>
      </c>
      <c r="E211" s="14">
        <f>E212</f>
        <v>52.2</v>
      </c>
      <c r="F211" s="14">
        <f t="shared" si="81"/>
        <v>52.2</v>
      </c>
      <c r="G211" s="14">
        <f t="shared" si="81"/>
        <v>52.2</v>
      </c>
    </row>
    <row r="212" spans="1:7" ht="31.5">
      <c r="A212" s="58" t="s">
        <v>249</v>
      </c>
      <c r="B212" s="108">
        <v>3510320300</v>
      </c>
      <c r="C212" s="108" t="s">
        <v>69</v>
      </c>
      <c r="D212" s="107" t="s">
        <v>95</v>
      </c>
      <c r="E212" s="14">
        <f>E213</f>
        <v>52.2</v>
      </c>
      <c r="F212" s="14">
        <f t="shared" si="81"/>
        <v>52.2</v>
      </c>
      <c r="G212" s="14">
        <f t="shared" si="81"/>
        <v>52.2</v>
      </c>
    </row>
    <row r="213" spans="1:7" ht="31.5">
      <c r="A213" s="58" t="s">
        <v>249</v>
      </c>
      <c r="B213" s="108">
        <v>3510320300</v>
      </c>
      <c r="C213" s="108">
        <v>240</v>
      </c>
      <c r="D213" s="107" t="s">
        <v>216</v>
      </c>
      <c r="E213" s="14">
        <f>'№ 4 ведом'!F150</f>
        <v>52.2</v>
      </c>
      <c r="F213" s="14">
        <f>'№ 4 ведом'!G150</f>
        <v>52.2</v>
      </c>
      <c r="G213" s="14">
        <f>'№ 4 ведом'!H150</f>
        <v>52.2</v>
      </c>
    </row>
    <row r="214" spans="1:7" ht="31.5">
      <c r="A214" s="58" t="s">
        <v>249</v>
      </c>
      <c r="B214" s="108">
        <v>3520000000</v>
      </c>
      <c r="C214" s="108"/>
      <c r="D214" s="30" t="s">
        <v>224</v>
      </c>
      <c r="E214" s="14">
        <f>E215</f>
        <v>217.5</v>
      </c>
      <c r="F214" s="14">
        <f t="shared" ref="F214:G217" si="82">F215</f>
        <v>217.5</v>
      </c>
      <c r="G214" s="14">
        <f t="shared" si="82"/>
        <v>217.5</v>
      </c>
    </row>
    <row r="215" spans="1:7" ht="31.5">
      <c r="A215" s="58" t="s">
        <v>249</v>
      </c>
      <c r="B215" s="108">
        <v>3520400000</v>
      </c>
      <c r="C215" s="108"/>
      <c r="D215" s="107" t="s">
        <v>270</v>
      </c>
      <c r="E215" s="14">
        <f>E216</f>
        <v>217.5</v>
      </c>
      <c r="F215" s="14">
        <f t="shared" si="82"/>
        <v>217.5</v>
      </c>
      <c r="G215" s="14">
        <f t="shared" si="82"/>
        <v>217.5</v>
      </c>
    </row>
    <row r="216" spans="1:7">
      <c r="A216" s="58" t="s">
        <v>249</v>
      </c>
      <c r="B216" s="108">
        <v>3520420300</v>
      </c>
      <c r="C216" s="108"/>
      <c r="D216" s="107" t="s">
        <v>271</v>
      </c>
      <c r="E216" s="14">
        <f>E217</f>
        <v>217.5</v>
      </c>
      <c r="F216" s="14">
        <f t="shared" si="82"/>
        <v>217.5</v>
      </c>
      <c r="G216" s="14">
        <f t="shared" si="82"/>
        <v>217.5</v>
      </c>
    </row>
    <row r="217" spans="1:7" ht="31.5">
      <c r="A217" s="58" t="s">
        <v>249</v>
      </c>
      <c r="B217" s="108">
        <v>3520420300</v>
      </c>
      <c r="C217" s="108">
        <v>600</v>
      </c>
      <c r="D217" s="107" t="s">
        <v>83</v>
      </c>
      <c r="E217" s="14">
        <f>E218</f>
        <v>217.5</v>
      </c>
      <c r="F217" s="14">
        <f t="shared" si="82"/>
        <v>217.5</v>
      </c>
      <c r="G217" s="14">
        <f t="shared" si="82"/>
        <v>217.5</v>
      </c>
    </row>
    <row r="218" spans="1:7">
      <c r="A218" s="58" t="s">
        <v>249</v>
      </c>
      <c r="B218" s="108">
        <v>3520420300</v>
      </c>
      <c r="C218" s="108">
        <v>610</v>
      </c>
      <c r="D218" s="107" t="s">
        <v>104</v>
      </c>
      <c r="E218" s="14">
        <f>'№ 4 ведом'!F155</f>
        <v>217.5</v>
      </c>
      <c r="F218" s="14">
        <f>'№ 4 ведом'!G155</f>
        <v>217.5</v>
      </c>
      <c r="G218" s="14">
        <f>'№ 4 ведом'!H155</f>
        <v>217.5</v>
      </c>
    </row>
    <row r="219" spans="1:7">
      <c r="A219" s="116" t="s">
        <v>56</v>
      </c>
      <c r="B219" s="116" t="s">
        <v>66</v>
      </c>
      <c r="C219" s="116" t="s">
        <v>66</v>
      </c>
      <c r="D219" s="13" t="s">
        <v>25</v>
      </c>
      <c r="E219" s="121">
        <f>E220+E267</f>
        <v>188258.69999999995</v>
      </c>
      <c r="F219" s="121">
        <f>F220+F267</f>
        <v>135294.50000000003</v>
      </c>
      <c r="G219" s="121">
        <f>G220+G267</f>
        <v>124728.1</v>
      </c>
    </row>
    <row r="220" spans="1:7">
      <c r="A220" s="108" t="s">
        <v>6</v>
      </c>
      <c r="B220" s="108" t="s">
        <v>66</v>
      </c>
      <c r="C220" s="108" t="s">
        <v>66</v>
      </c>
      <c r="D220" s="107" t="s">
        <v>89</v>
      </c>
      <c r="E220" s="14">
        <f>E221+E262</f>
        <v>187959.69999999995</v>
      </c>
      <c r="F220" s="14">
        <f>F221+F262</f>
        <v>135294.50000000003</v>
      </c>
      <c r="G220" s="14">
        <f>G221+G262</f>
        <v>124728.1</v>
      </c>
    </row>
    <row r="221" spans="1:7" ht="47.25">
      <c r="A221" s="108" t="s">
        <v>6</v>
      </c>
      <c r="B221" s="108">
        <v>3400000000</v>
      </c>
      <c r="C221" s="108"/>
      <c r="D221" s="107" t="s">
        <v>332</v>
      </c>
      <c r="E221" s="14">
        <f>E222+E247</f>
        <v>187809.69999999995</v>
      </c>
      <c r="F221" s="14">
        <f>F222+F247</f>
        <v>135294.50000000003</v>
      </c>
      <c r="G221" s="14">
        <f>G222+G247</f>
        <v>124728.1</v>
      </c>
    </row>
    <row r="222" spans="1:7">
      <c r="A222" s="108" t="s">
        <v>6</v>
      </c>
      <c r="B222" s="108">
        <v>3410000000</v>
      </c>
      <c r="C222" s="108"/>
      <c r="D222" s="107" t="s">
        <v>124</v>
      </c>
      <c r="E222" s="14">
        <f>E223+E227+E237</f>
        <v>180162.89999999997</v>
      </c>
      <c r="F222" s="14">
        <f>F223+F227+F237</f>
        <v>131752.40000000002</v>
      </c>
      <c r="G222" s="14">
        <f>G223+G227+G237</f>
        <v>121044.3</v>
      </c>
    </row>
    <row r="223" spans="1:7">
      <c r="A223" s="108" t="s">
        <v>6</v>
      </c>
      <c r="B223" s="108">
        <v>3410100000</v>
      </c>
      <c r="C223" s="30"/>
      <c r="D223" s="107" t="s">
        <v>173</v>
      </c>
      <c r="E223" s="14">
        <f>E224</f>
        <v>66577.7</v>
      </c>
      <c r="F223" s="14">
        <f t="shared" ref="F223:G224" si="83">F224</f>
        <v>50050.3</v>
      </c>
      <c r="G223" s="14">
        <f t="shared" si="83"/>
        <v>36074.1</v>
      </c>
    </row>
    <row r="224" spans="1:7" ht="31.5">
      <c r="A224" s="108" t="s">
        <v>6</v>
      </c>
      <c r="B224" s="108" t="s">
        <v>333</v>
      </c>
      <c r="C224" s="108"/>
      <c r="D224" s="107" t="s">
        <v>125</v>
      </c>
      <c r="E224" s="14">
        <f>E225</f>
        <v>66577.7</v>
      </c>
      <c r="F224" s="14">
        <f t="shared" si="83"/>
        <v>50050.3</v>
      </c>
      <c r="G224" s="14">
        <f t="shared" si="83"/>
        <v>36074.1</v>
      </c>
    </row>
    <row r="225" spans="1:7" ht="31.5">
      <c r="A225" s="108" t="s">
        <v>6</v>
      </c>
      <c r="B225" s="108" t="s">
        <v>333</v>
      </c>
      <c r="C225" s="108" t="s">
        <v>69</v>
      </c>
      <c r="D225" s="107" t="s">
        <v>95</v>
      </c>
      <c r="E225" s="14">
        <f>E226</f>
        <v>66577.7</v>
      </c>
      <c r="F225" s="14">
        <f t="shared" ref="F225:G225" si="84">F226</f>
        <v>50050.3</v>
      </c>
      <c r="G225" s="14">
        <f t="shared" si="84"/>
        <v>36074.1</v>
      </c>
    </row>
    <row r="226" spans="1:7" ht="31.5">
      <c r="A226" s="108" t="s">
        <v>6</v>
      </c>
      <c r="B226" s="108" t="s">
        <v>333</v>
      </c>
      <c r="C226" s="108">
        <v>240</v>
      </c>
      <c r="D226" s="107" t="s">
        <v>216</v>
      </c>
      <c r="E226" s="14">
        <f>'№ 4 ведом'!F163</f>
        <v>66577.7</v>
      </c>
      <c r="F226" s="14">
        <f>'№ 4 ведом'!G163</f>
        <v>50050.3</v>
      </c>
      <c r="G226" s="14">
        <f>'№ 4 ведом'!H163</f>
        <v>36074.1</v>
      </c>
    </row>
    <row r="227" spans="1:7" ht="47.25">
      <c r="A227" s="108" t="s">
        <v>6</v>
      </c>
      <c r="B227" s="108">
        <v>3410200000</v>
      </c>
      <c r="C227" s="108"/>
      <c r="D227" s="107" t="s">
        <v>174</v>
      </c>
      <c r="E227" s="14">
        <f>E231+E234+E228</f>
        <v>76445.899999999994</v>
      </c>
      <c r="F227" s="14">
        <f t="shared" ref="F227:G227" si="85">F231+F234+F228</f>
        <v>64275.9</v>
      </c>
      <c r="G227" s="14">
        <f t="shared" si="85"/>
        <v>66846.899999999994</v>
      </c>
    </row>
    <row r="228" spans="1:7">
      <c r="A228" s="108" t="s">
        <v>6</v>
      </c>
      <c r="B228" s="108" t="s">
        <v>334</v>
      </c>
      <c r="C228" s="108"/>
      <c r="D228" s="30" t="s">
        <v>222</v>
      </c>
      <c r="E228" s="14">
        <f>E229</f>
        <v>10546.800000000001</v>
      </c>
      <c r="F228" s="14">
        <f t="shared" ref="F228:G229" si="86">F229</f>
        <v>0</v>
      </c>
      <c r="G228" s="14">
        <f t="shared" si="86"/>
        <v>0</v>
      </c>
    </row>
    <row r="229" spans="1:7" ht="31.5">
      <c r="A229" s="108" t="s">
        <v>6</v>
      </c>
      <c r="B229" s="108" t="s">
        <v>334</v>
      </c>
      <c r="C229" s="108" t="s">
        <v>69</v>
      </c>
      <c r="D229" s="30" t="s">
        <v>95</v>
      </c>
      <c r="E229" s="14">
        <f>E230</f>
        <v>10546.800000000001</v>
      </c>
      <c r="F229" s="14">
        <f t="shared" si="86"/>
        <v>0</v>
      </c>
      <c r="G229" s="14">
        <f t="shared" si="86"/>
        <v>0</v>
      </c>
    </row>
    <row r="230" spans="1:7" ht="31.5">
      <c r="A230" s="108" t="s">
        <v>6</v>
      </c>
      <c r="B230" s="108" t="s">
        <v>334</v>
      </c>
      <c r="C230" s="108">
        <v>240</v>
      </c>
      <c r="D230" s="30" t="s">
        <v>216</v>
      </c>
      <c r="E230" s="14">
        <f>'№ 4 ведом'!F167</f>
        <v>10546.800000000001</v>
      </c>
      <c r="F230" s="14">
        <f>'№ 4 ведом'!G167</f>
        <v>0</v>
      </c>
      <c r="G230" s="14">
        <f>'№ 4 ведом'!H167</f>
        <v>0</v>
      </c>
    </row>
    <row r="231" spans="1:7" ht="31.5">
      <c r="A231" s="108" t="s">
        <v>6</v>
      </c>
      <c r="B231" s="108" t="s">
        <v>336</v>
      </c>
      <c r="C231" s="108"/>
      <c r="D231" s="107" t="s">
        <v>308</v>
      </c>
      <c r="E231" s="14">
        <f t="shared" ref="E231:G232" si="87">E232</f>
        <v>61803.799999999996</v>
      </c>
      <c r="F231" s="14">
        <f t="shared" si="87"/>
        <v>64275.9</v>
      </c>
      <c r="G231" s="14">
        <f t="shared" si="87"/>
        <v>66846.899999999994</v>
      </c>
    </row>
    <row r="232" spans="1:7" ht="31.5">
      <c r="A232" s="108" t="s">
        <v>6</v>
      </c>
      <c r="B232" s="108" t="s">
        <v>336</v>
      </c>
      <c r="C232" s="108" t="s">
        <v>69</v>
      </c>
      <c r="D232" s="107" t="s">
        <v>95</v>
      </c>
      <c r="E232" s="14">
        <f t="shared" si="87"/>
        <v>61803.799999999996</v>
      </c>
      <c r="F232" s="14">
        <f t="shared" si="87"/>
        <v>64275.9</v>
      </c>
      <c r="G232" s="14">
        <f t="shared" si="87"/>
        <v>66846.899999999994</v>
      </c>
    </row>
    <row r="233" spans="1:7" ht="31.5">
      <c r="A233" s="108" t="s">
        <v>6</v>
      </c>
      <c r="B233" s="108" t="s">
        <v>336</v>
      </c>
      <c r="C233" s="108">
        <v>240</v>
      </c>
      <c r="D233" s="107" t="s">
        <v>216</v>
      </c>
      <c r="E233" s="14">
        <f>'№ 4 ведом'!F170</f>
        <v>61803.799999999996</v>
      </c>
      <c r="F233" s="14">
        <f>'№ 4 ведом'!G170</f>
        <v>64275.9</v>
      </c>
      <c r="G233" s="14">
        <f>'№ 4 ведом'!H170</f>
        <v>66846.899999999994</v>
      </c>
    </row>
    <row r="234" spans="1:7" ht="31.5">
      <c r="A234" s="108" t="s">
        <v>6</v>
      </c>
      <c r="B234" s="108" t="s">
        <v>335</v>
      </c>
      <c r="C234" s="108"/>
      <c r="D234" s="107" t="s">
        <v>386</v>
      </c>
      <c r="E234" s="14">
        <f t="shared" ref="E234:G235" si="88">E235</f>
        <v>4095.2999999999993</v>
      </c>
      <c r="F234" s="14">
        <f t="shared" si="88"/>
        <v>0</v>
      </c>
      <c r="G234" s="14">
        <f t="shared" si="88"/>
        <v>0</v>
      </c>
    </row>
    <row r="235" spans="1:7" ht="31.5">
      <c r="A235" s="108" t="s">
        <v>6</v>
      </c>
      <c r="B235" s="108" t="s">
        <v>335</v>
      </c>
      <c r="C235" s="108" t="s">
        <v>69</v>
      </c>
      <c r="D235" s="107" t="s">
        <v>95</v>
      </c>
      <c r="E235" s="14">
        <f t="shared" si="88"/>
        <v>4095.2999999999993</v>
      </c>
      <c r="F235" s="14">
        <f t="shared" si="88"/>
        <v>0</v>
      </c>
      <c r="G235" s="14">
        <f t="shared" si="88"/>
        <v>0</v>
      </c>
    </row>
    <row r="236" spans="1:7" ht="31.5">
      <c r="A236" s="108" t="s">
        <v>6</v>
      </c>
      <c r="B236" s="108" t="s">
        <v>335</v>
      </c>
      <c r="C236" s="108">
        <v>240</v>
      </c>
      <c r="D236" s="107" t="s">
        <v>216</v>
      </c>
      <c r="E236" s="14">
        <f>'№ 4 ведом'!F173</f>
        <v>4095.2999999999993</v>
      </c>
      <c r="F236" s="14">
        <f>'№ 4 ведом'!G173</f>
        <v>0</v>
      </c>
      <c r="G236" s="14">
        <f>'№ 4 ведом'!H173</f>
        <v>0</v>
      </c>
    </row>
    <row r="237" spans="1:7" ht="47.25">
      <c r="A237" s="108" t="s">
        <v>6</v>
      </c>
      <c r="B237" s="108">
        <v>3410300000</v>
      </c>
      <c r="C237" s="108"/>
      <c r="D237" s="107" t="s">
        <v>223</v>
      </c>
      <c r="E237" s="14">
        <f>E241+E244+E238</f>
        <v>37139.300000000003</v>
      </c>
      <c r="F237" s="14">
        <f t="shared" ref="F237:G237" si="89">F241+F244+F238</f>
        <v>17426.2</v>
      </c>
      <c r="G237" s="14">
        <f t="shared" si="89"/>
        <v>18123.3</v>
      </c>
    </row>
    <row r="238" spans="1:7">
      <c r="A238" s="108" t="s">
        <v>6</v>
      </c>
      <c r="B238" s="108" t="s">
        <v>439</v>
      </c>
      <c r="C238" s="108"/>
      <c r="D238" s="30" t="s">
        <v>222</v>
      </c>
      <c r="E238" s="14">
        <f>E239</f>
        <v>75.5</v>
      </c>
      <c r="F238" s="14">
        <f t="shared" ref="F238:G239" si="90">F239</f>
        <v>0</v>
      </c>
      <c r="G238" s="14">
        <f t="shared" si="90"/>
        <v>0</v>
      </c>
    </row>
    <row r="239" spans="1:7" ht="31.5">
      <c r="A239" s="108" t="s">
        <v>6</v>
      </c>
      <c r="B239" s="108" t="s">
        <v>439</v>
      </c>
      <c r="C239" s="108" t="s">
        <v>69</v>
      </c>
      <c r="D239" s="30" t="s">
        <v>95</v>
      </c>
      <c r="E239" s="14">
        <f>E240</f>
        <v>75.5</v>
      </c>
      <c r="F239" s="14">
        <f t="shared" si="90"/>
        <v>0</v>
      </c>
      <c r="G239" s="14">
        <f t="shared" si="90"/>
        <v>0</v>
      </c>
    </row>
    <row r="240" spans="1:7" ht="31.5">
      <c r="A240" s="108" t="s">
        <v>6</v>
      </c>
      <c r="B240" s="108" t="s">
        <v>439</v>
      </c>
      <c r="C240" s="108">
        <v>240</v>
      </c>
      <c r="D240" s="30" t="s">
        <v>216</v>
      </c>
      <c r="E240" s="14">
        <f>'№ 4 ведом'!F177</f>
        <v>75.5</v>
      </c>
      <c r="F240" s="14">
        <f>'№ 4 ведом'!G177</f>
        <v>0</v>
      </c>
      <c r="G240" s="14">
        <f>'№ 4 ведом'!H177</f>
        <v>0</v>
      </c>
    </row>
    <row r="241" spans="1:7" ht="31.5">
      <c r="A241" s="108" t="s">
        <v>6</v>
      </c>
      <c r="B241" s="108" t="s">
        <v>338</v>
      </c>
      <c r="C241" s="108"/>
      <c r="D241" s="107" t="s">
        <v>412</v>
      </c>
      <c r="E241" s="14">
        <f t="shared" ref="E241:G242" si="91">E242</f>
        <v>36705.200000000004</v>
      </c>
      <c r="F241" s="14">
        <f t="shared" si="91"/>
        <v>17426.2</v>
      </c>
      <c r="G241" s="14">
        <f t="shared" si="91"/>
        <v>18123.3</v>
      </c>
    </row>
    <row r="242" spans="1:7" ht="31.5">
      <c r="A242" s="108" t="s">
        <v>6</v>
      </c>
      <c r="B242" s="108" t="s">
        <v>338</v>
      </c>
      <c r="C242" s="108" t="s">
        <v>69</v>
      </c>
      <c r="D242" s="107" t="s">
        <v>95</v>
      </c>
      <c r="E242" s="14">
        <f t="shared" si="91"/>
        <v>36705.200000000004</v>
      </c>
      <c r="F242" s="14">
        <f t="shared" si="91"/>
        <v>17426.2</v>
      </c>
      <c r="G242" s="14">
        <f t="shared" si="91"/>
        <v>18123.3</v>
      </c>
    </row>
    <row r="243" spans="1:7" ht="31.5">
      <c r="A243" s="108" t="s">
        <v>6</v>
      </c>
      <c r="B243" s="108" t="s">
        <v>338</v>
      </c>
      <c r="C243" s="108">
        <v>240</v>
      </c>
      <c r="D243" s="107" t="s">
        <v>216</v>
      </c>
      <c r="E243" s="14">
        <f>'№ 4 ведом'!F180</f>
        <v>36705.200000000004</v>
      </c>
      <c r="F243" s="14">
        <f>'№ 4 ведом'!G180</f>
        <v>17426.2</v>
      </c>
      <c r="G243" s="14">
        <f>'№ 4 ведом'!H180</f>
        <v>18123.3</v>
      </c>
    </row>
    <row r="244" spans="1:7" ht="47.25">
      <c r="A244" s="108" t="s">
        <v>6</v>
      </c>
      <c r="B244" s="108" t="s">
        <v>337</v>
      </c>
      <c r="C244" s="108"/>
      <c r="D244" s="107" t="s">
        <v>387</v>
      </c>
      <c r="E244" s="14">
        <f t="shared" ref="E244:G245" si="92">E245</f>
        <v>358.6</v>
      </c>
      <c r="F244" s="14">
        <f t="shared" si="92"/>
        <v>0</v>
      </c>
      <c r="G244" s="14">
        <f t="shared" si="92"/>
        <v>0</v>
      </c>
    </row>
    <row r="245" spans="1:7" ht="31.5">
      <c r="A245" s="108" t="s">
        <v>6</v>
      </c>
      <c r="B245" s="108" t="s">
        <v>337</v>
      </c>
      <c r="C245" s="108" t="s">
        <v>69</v>
      </c>
      <c r="D245" s="30" t="s">
        <v>95</v>
      </c>
      <c r="E245" s="14">
        <f t="shared" si="92"/>
        <v>358.6</v>
      </c>
      <c r="F245" s="14">
        <f t="shared" si="92"/>
        <v>0</v>
      </c>
      <c r="G245" s="14">
        <f t="shared" si="92"/>
        <v>0</v>
      </c>
    </row>
    <row r="246" spans="1:7" ht="31.5">
      <c r="A246" s="108" t="s">
        <v>6</v>
      </c>
      <c r="B246" s="108" t="s">
        <v>337</v>
      </c>
      <c r="C246" s="108">
        <v>240</v>
      </c>
      <c r="D246" s="30" t="s">
        <v>216</v>
      </c>
      <c r="E246" s="14">
        <f>'№ 4 ведом'!F183</f>
        <v>358.6</v>
      </c>
      <c r="F246" s="14">
        <f>'№ 4 ведом'!G183</f>
        <v>0</v>
      </c>
      <c r="G246" s="14">
        <f>'№ 4 ведом'!H183</f>
        <v>0</v>
      </c>
    </row>
    <row r="247" spans="1:7">
      <c r="A247" s="108" t="s">
        <v>6</v>
      </c>
      <c r="B247" s="108">
        <v>3420000000</v>
      </c>
      <c r="C247" s="108"/>
      <c r="D247" s="107" t="s">
        <v>126</v>
      </c>
      <c r="E247" s="14">
        <f>E248+E252</f>
        <v>7646.7999999999993</v>
      </c>
      <c r="F247" s="14">
        <f t="shared" ref="F247:G247" si="93">F248+F252</f>
        <v>3542.1000000000004</v>
      </c>
      <c r="G247" s="14">
        <f t="shared" si="93"/>
        <v>3683.8</v>
      </c>
    </row>
    <row r="248" spans="1:7" ht="31.5">
      <c r="A248" s="108" t="s">
        <v>6</v>
      </c>
      <c r="B248" s="108">
        <v>3420100000</v>
      </c>
      <c r="C248" s="108"/>
      <c r="D248" s="107" t="s">
        <v>175</v>
      </c>
      <c r="E248" s="14">
        <f>E249</f>
        <v>1967.1</v>
      </c>
      <c r="F248" s="14">
        <f t="shared" ref="F248:G248" si="94">F249</f>
        <v>0</v>
      </c>
      <c r="G248" s="14">
        <f t="shared" si="94"/>
        <v>0</v>
      </c>
    </row>
    <row r="249" spans="1:7">
      <c r="A249" s="108" t="s">
        <v>6</v>
      </c>
      <c r="B249" s="108" t="s">
        <v>339</v>
      </c>
      <c r="C249" s="108"/>
      <c r="D249" s="107" t="s">
        <v>127</v>
      </c>
      <c r="E249" s="14">
        <f t="shared" ref="E249:G250" si="95">E250</f>
        <v>1967.1</v>
      </c>
      <c r="F249" s="14">
        <f t="shared" si="95"/>
        <v>0</v>
      </c>
      <c r="G249" s="14">
        <f t="shared" si="95"/>
        <v>0</v>
      </c>
    </row>
    <row r="250" spans="1:7" ht="31.5">
      <c r="A250" s="108" t="s">
        <v>6</v>
      </c>
      <c r="B250" s="108" t="s">
        <v>339</v>
      </c>
      <c r="C250" s="108" t="s">
        <v>69</v>
      </c>
      <c r="D250" s="107" t="s">
        <v>95</v>
      </c>
      <c r="E250" s="14">
        <f t="shared" si="95"/>
        <v>1967.1</v>
      </c>
      <c r="F250" s="14">
        <f t="shared" si="95"/>
        <v>0</v>
      </c>
      <c r="G250" s="14">
        <f t="shared" si="95"/>
        <v>0</v>
      </c>
    </row>
    <row r="251" spans="1:7" ht="31.5">
      <c r="A251" s="108" t="s">
        <v>6</v>
      </c>
      <c r="B251" s="108" t="s">
        <v>339</v>
      </c>
      <c r="C251" s="108">
        <v>240</v>
      </c>
      <c r="D251" s="107" t="s">
        <v>216</v>
      </c>
      <c r="E251" s="14">
        <f>'№ 4 ведом'!F188</f>
        <v>1967.1</v>
      </c>
      <c r="F251" s="14">
        <f>'№ 4 ведом'!G188</f>
        <v>0</v>
      </c>
      <c r="G251" s="14">
        <f>'№ 4 ведом'!H188</f>
        <v>0</v>
      </c>
    </row>
    <row r="252" spans="1:7" ht="47.25">
      <c r="A252" s="108" t="s">
        <v>6</v>
      </c>
      <c r="B252" s="108">
        <v>3420300000</v>
      </c>
      <c r="C252" s="108"/>
      <c r="D252" s="107" t="s">
        <v>311</v>
      </c>
      <c r="E252" s="14">
        <f>E253+E256+E259</f>
        <v>5679.7</v>
      </c>
      <c r="F252" s="14">
        <f t="shared" ref="F252:G252" si="96">F253+F256+F259</f>
        <v>3542.1000000000004</v>
      </c>
      <c r="G252" s="14">
        <f t="shared" si="96"/>
        <v>3683.8</v>
      </c>
    </row>
    <row r="253" spans="1:7">
      <c r="A253" s="108" t="s">
        <v>6</v>
      </c>
      <c r="B253" s="108" t="s">
        <v>389</v>
      </c>
      <c r="C253" s="108"/>
      <c r="D253" s="30" t="s">
        <v>222</v>
      </c>
      <c r="E253" s="14">
        <f>E254</f>
        <v>338.6</v>
      </c>
      <c r="F253" s="14">
        <f t="shared" ref="F253:G254" si="97">F254</f>
        <v>0</v>
      </c>
      <c r="G253" s="14">
        <f t="shared" si="97"/>
        <v>0</v>
      </c>
    </row>
    <row r="254" spans="1:7" ht="31.5">
      <c r="A254" s="108" t="s">
        <v>6</v>
      </c>
      <c r="B254" s="108" t="s">
        <v>389</v>
      </c>
      <c r="C254" s="108" t="s">
        <v>69</v>
      </c>
      <c r="D254" s="107" t="s">
        <v>95</v>
      </c>
      <c r="E254" s="14">
        <f>E255</f>
        <v>338.6</v>
      </c>
      <c r="F254" s="14">
        <f t="shared" si="97"/>
        <v>0</v>
      </c>
      <c r="G254" s="14">
        <f t="shared" si="97"/>
        <v>0</v>
      </c>
    </row>
    <row r="255" spans="1:7" ht="31.5">
      <c r="A255" s="108" t="s">
        <v>6</v>
      </c>
      <c r="B255" s="108" t="s">
        <v>389</v>
      </c>
      <c r="C255" s="108">
        <v>240</v>
      </c>
      <c r="D255" s="107" t="s">
        <v>216</v>
      </c>
      <c r="E255" s="14">
        <f>'№ 4 ведом'!F192</f>
        <v>338.6</v>
      </c>
      <c r="F255" s="14">
        <f>'№ 4 ведом'!G192</f>
        <v>0</v>
      </c>
      <c r="G255" s="14">
        <f>'№ 4 ведом'!H192</f>
        <v>0</v>
      </c>
    </row>
    <row r="256" spans="1:7" ht="47.25">
      <c r="A256" s="108" t="s">
        <v>6</v>
      </c>
      <c r="B256" s="108" t="s">
        <v>390</v>
      </c>
      <c r="C256" s="108"/>
      <c r="D256" s="107" t="s">
        <v>305</v>
      </c>
      <c r="E256" s="14">
        <f>E257</f>
        <v>3405.9</v>
      </c>
      <c r="F256" s="14">
        <f t="shared" ref="F256:G257" si="98">F257</f>
        <v>3542.1000000000004</v>
      </c>
      <c r="G256" s="14">
        <f t="shared" si="98"/>
        <v>3683.8</v>
      </c>
    </row>
    <row r="257" spans="1:7" ht="31.5">
      <c r="A257" s="108" t="s">
        <v>6</v>
      </c>
      <c r="B257" s="108" t="s">
        <v>390</v>
      </c>
      <c r="C257" s="108" t="s">
        <v>69</v>
      </c>
      <c r="D257" s="107" t="s">
        <v>95</v>
      </c>
      <c r="E257" s="14">
        <f>E258</f>
        <v>3405.9</v>
      </c>
      <c r="F257" s="14">
        <f t="shared" si="98"/>
        <v>3542.1000000000004</v>
      </c>
      <c r="G257" s="14">
        <f t="shared" si="98"/>
        <v>3683.8</v>
      </c>
    </row>
    <row r="258" spans="1:7" ht="31.5">
      <c r="A258" s="108" t="s">
        <v>6</v>
      </c>
      <c r="B258" s="108" t="s">
        <v>390</v>
      </c>
      <c r="C258" s="108">
        <v>240</v>
      </c>
      <c r="D258" s="107" t="s">
        <v>216</v>
      </c>
      <c r="E258" s="14">
        <f>'№ 4 ведом'!F195</f>
        <v>3405.9</v>
      </c>
      <c r="F258" s="14">
        <f>'№ 4 ведом'!G195</f>
        <v>3542.1000000000004</v>
      </c>
      <c r="G258" s="14">
        <f>'№ 4 ведом'!H195</f>
        <v>3683.8</v>
      </c>
    </row>
    <row r="259" spans="1:7" ht="47.25">
      <c r="A259" s="108" t="s">
        <v>6</v>
      </c>
      <c r="B259" s="108" t="s">
        <v>391</v>
      </c>
      <c r="C259" s="108"/>
      <c r="D259" s="30" t="s">
        <v>388</v>
      </c>
      <c r="E259" s="14">
        <f>E260</f>
        <v>1935.2</v>
      </c>
      <c r="F259" s="14">
        <f t="shared" ref="F259:G260" si="99">F260</f>
        <v>0</v>
      </c>
      <c r="G259" s="14">
        <f t="shared" si="99"/>
        <v>0</v>
      </c>
    </row>
    <row r="260" spans="1:7" ht="31.5">
      <c r="A260" s="108" t="s">
        <v>6</v>
      </c>
      <c r="B260" s="108" t="s">
        <v>391</v>
      </c>
      <c r="C260" s="108" t="s">
        <v>69</v>
      </c>
      <c r="D260" s="107" t="s">
        <v>95</v>
      </c>
      <c r="E260" s="14">
        <f>E261</f>
        <v>1935.2</v>
      </c>
      <c r="F260" s="14">
        <f t="shared" si="99"/>
        <v>0</v>
      </c>
      <c r="G260" s="14">
        <f t="shared" si="99"/>
        <v>0</v>
      </c>
    </row>
    <row r="261" spans="1:7" ht="31.5">
      <c r="A261" s="108" t="s">
        <v>6</v>
      </c>
      <c r="B261" s="108" t="s">
        <v>391</v>
      </c>
      <c r="C261" s="108">
        <v>240</v>
      </c>
      <c r="D261" s="107" t="s">
        <v>216</v>
      </c>
      <c r="E261" s="14">
        <f>'№ 4 ведом'!F198</f>
        <v>1935.2</v>
      </c>
      <c r="F261" s="14">
        <f>'№ 4 ведом'!G198</f>
        <v>0</v>
      </c>
      <c r="G261" s="14">
        <f>'№ 4 ведом'!H198</f>
        <v>0</v>
      </c>
    </row>
    <row r="262" spans="1:7">
      <c r="A262" s="108" t="s">
        <v>6</v>
      </c>
      <c r="B262" s="108">
        <v>9900000000</v>
      </c>
      <c r="C262" s="108"/>
      <c r="D262" s="107" t="s">
        <v>105</v>
      </c>
      <c r="E262" s="14">
        <f>E263</f>
        <v>150</v>
      </c>
      <c r="F262" s="14">
        <f t="shared" ref="F262:G265" si="100">F263</f>
        <v>0</v>
      </c>
      <c r="G262" s="14">
        <f t="shared" si="100"/>
        <v>0</v>
      </c>
    </row>
    <row r="263" spans="1:7" ht="31.5">
      <c r="A263" s="108" t="s">
        <v>6</v>
      </c>
      <c r="B263" s="108">
        <v>9930000000</v>
      </c>
      <c r="C263" s="108"/>
      <c r="D263" s="107" t="s">
        <v>154</v>
      </c>
      <c r="E263" s="14">
        <f>E264</f>
        <v>150</v>
      </c>
      <c r="F263" s="14">
        <f t="shared" si="100"/>
        <v>0</v>
      </c>
      <c r="G263" s="14">
        <f t="shared" si="100"/>
        <v>0</v>
      </c>
    </row>
    <row r="264" spans="1:7" ht="31.5">
      <c r="A264" s="108" t="s">
        <v>6</v>
      </c>
      <c r="B264" s="108">
        <v>9930020490</v>
      </c>
      <c r="C264" s="108"/>
      <c r="D264" s="30" t="s">
        <v>438</v>
      </c>
      <c r="E264" s="14">
        <f>E265</f>
        <v>150</v>
      </c>
      <c r="F264" s="14">
        <f t="shared" si="100"/>
        <v>0</v>
      </c>
      <c r="G264" s="14">
        <f t="shared" si="100"/>
        <v>0</v>
      </c>
    </row>
    <row r="265" spans="1:7">
      <c r="A265" s="108" t="s">
        <v>6</v>
      </c>
      <c r="B265" s="108">
        <v>9930020490</v>
      </c>
      <c r="C265" s="8" t="s">
        <v>70</v>
      </c>
      <c r="D265" s="22" t="s">
        <v>71</v>
      </c>
      <c r="E265" s="14">
        <f>E266</f>
        <v>150</v>
      </c>
      <c r="F265" s="14">
        <f t="shared" si="100"/>
        <v>0</v>
      </c>
      <c r="G265" s="14">
        <f t="shared" si="100"/>
        <v>0</v>
      </c>
    </row>
    <row r="266" spans="1:7">
      <c r="A266" s="108" t="s">
        <v>6</v>
      </c>
      <c r="B266" s="108">
        <v>9930020490</v>
      </c>
      <c r="C266" s="108">
        <v>850</v>
      </c>
      <c r="D266" s="107" t="s">
        <v>100</v>
      </c>
      <c r="E266" s="14">
        <f>'№ 4 ведом'!F203</f>
        <v>150</v>
      </c>
      <c r="F266" s="14">
        <f>'№ 4 ведом'!G203</f>
        <v>0</v>
      </c>
      <c r="G266" s="14">
        <f>'№ 4 ведом'!H203</f>
        <v>0</v>
      </c>
    </row>
    <row r="267" spans="1:7">
      <c r="A267" s="108" t="s">
        <v>48</v>
      </c>
      <c r="B267" s="108" t="s">
        <v>66</v>
      </c>
      <c r="C267" s="108" t="s">
        <v>66</v>
      </c>
      <c r="D267" s="107" t="s">
        <v>26</v>
      </c>
      <c r="E267" s="14">
        <f>E268</f>
        <v>299</v>
      </c>
      <c r="F267" s="14">
        <f t="shared" ref="E267:G277" si="101">F268</f>
        <v>0</v>
      </c>
      <c r="G267" s="14">
        <f t="shared" si="101"/>
        <v>0</v>
      </c>
    </row>
    <row r="268" spans="1:7" ht="47.25">
      <c r="A268" s="108" t="s">
        <v>48</v>
      </c>
      <c r="B268" s="108">
        <v>3600000000</v>
      </c>
      <c r="C268" s="108"/>
      <c r="D268" s="107" t="s">
        <v>331</v>
      </c>
      <c r="E268" s="14">
        <f>E274+E269</f>
        <v>299</v>
      </c>
      <c r="F268" s="14">
        <f t="shared" ref="F268:G268" si="102">F274+F269</f>
        <v>0</v>
      </c>
      <c r="G268" s="14">
        <f t="shared" si="102"/>
        <v>0</v>
      </c>
    </row>
    <row r="269" spans="1:7" ht="31.5">
      <c r="A269" s="108" t="s">
        <v>48</v>
      </c>
      <c r="B269" s="108">
        <v>3610000000</v>
      </c>
      <c r="C269" s="108"/>
      <c r="D269" s="107" t="s">
        <v>107</v>
      </c>
      <c r="E269" s="14">
        <f t="shared" ref="E269:G272" si="103">E270</f>
        <v>266</v>
      </c>
      <c r="F269" s="14">
        <f t="shared" si="103"/>
        <v>0</v>
      </c>
      <c r="G269" s="14">
        <f t="shared" si="103"/>
        <v>0</v>
      </c>
    </row>
    <row r="270" spans="1:7">
      <c r="A270" s="108" t="s">
        <v>48</v>
      </c>
      <c r="B270" s="108">
        <v>3610100000</v>
      </c>
      <c r="C270" s="108"/>
      <c r="D270" s="107" t="s">
        <v>108</v>
      </c>
      <c r="E270" s="14">
        <f t="shared" si="103"/>
        <v>266</v>
      </c>
      <c r="F270" s="14">
        <f t="shared" si="103"/>
        <v>0</v>
      </c>
      <c r="G270" s="14">
        <f t="shared" si="103"/>
        <v>0</v>
      </c>
    </row>
    <row r="271" spans="1:7" ht="31.5">
      <c r="A271" s="108" t="s">
        <v>48</v>
      </c>
      <c r="B271" s="108">
        <v>3610120240</v>
      </c>
      <c r="C271" s="108"/>
      <c r="D271" s="107" t="s">
        <v>111</v>
      </c>
      <c r="E271" s="14">
        <f t="shared" si="103"/>
        <v>266</v>
      </c>
      <c r="F271" s="14">
        <f t="shared" si="103"/>
        <v>0</v>
      </c>
      <c r="G271" s="14">
        <f t="shared" si="103"/>
        <v>0</v>
      </c>
    </row>
    <row r="272" spans="1:7" ht="31.5">
      <c r="A272" s="108" t="s">
        <v>48</v>
      </c>
      <c r="B272" s="108">
        <v>3610120240</v>
      </c>
      <c r="C272" s="108" t="s">
        <v>69</v>
      </c>
      <c r="D272" s="107" t="s">
        <v>95</v>
      </c>
      <c r="E272" s="14">
        <f t="shared" si="103"/>
        <v>266</v>
      </c>
      <c r="F272" s="14">
        <f t="shared" si="103"/>
        <v>0</v>
      </c>
      <c r="G272" s="14">
        <f t="shared" si="103"/>
        <v>0</v>
      </c>
    </row>
    <row r="273" spans="1:7" ht="31.5">
      <c r="A273" s="108" t="s">
        <v>48</v>
      </c>
      <c r="B273" s="108">
        <v>3610120240</v>
      </c>
      <c r="C273" s="108">
        <v>240</v>
      </c>
      <c r="D273" s="107" t="s">
        <v>216</v>
      </c>
      <c r="E273" s="14">
        <f>'№ 4 ведом'!F719</f>
        <v>266</v>
      </c>
      <c r="F273" s="14">
        <f>'№ 4 ведом'!G719</f>
        <v>0</v>
      </c>
      <c r="G273" s="14">
        <f>'№ 4 ведом'!H719</f>
        <v>0</v>
      </c>
    </row>
    <row r="274" spans="1:7" ht="31.5">
      <c r="A274" s="108" t="s">
        <v>48</v>
      </c>
      <c r="B274" s="108">
        <v>3640000000</v>
      </c>
      <c r="C274" s="108"/>
      <c r="D274" s="107" t="s">
        <v>340</v>
      </c>
      <c r="E274" s="14">
        <f t="shared" si="101"/>
        <v>33</v>
      </c>
      <c r="F274" s="14">
        <f t="shared" si="101"/>
        <v>0</v>
      </c>
      <c r="G274" s="14">
        <f t="shared" si="101"/>
        <v>0</v>
      </c>
    </row>
    <row r="275" spans="1:7" ht="31.5">
      <c r="A275" s="108" t="s">
        <v>48</v>
      </c>
      <c r="B275" s="108">
        <v>3640100000</v>
      </c>
      <c r="C275" s="108"/>
      <c r="D275" s="107" t="s">
        <v>276</v>
      </c>
      <c r="E275" s="14">
        <f t="shared" si="101"/>
        <v>33</v>
      </c>
      <c r="F275" s="14">
        <f t="shared" si="101"/>
        <v>0</v>
      </c>
      <c r="G275" s="14">
        <f t="shared" si="101"/>
        <v>0</v>
      </c>
    </row>
    <row r="276" spans="1:7" ht="31.5">
      <c r="A276" s="108" t="s">
        <v>48</v>
      </c>
      <c r="B276" s="108">
        <v>3640120210</v>
      </c>
      <c r="C276" s="108"/>
      <c r="D276" s="107" t="s">
        <v>277</v>
      </c>
      <c r="E276" s="14">
        <f t="shared" si="101"/>
        <v>33</v>
      </c>
      <c r="F276" s="14">
        <f t="shared" si="101"/>
        <v>0</v>
      </c>
      <c r="G276" s="14">
        <f t="shared" si="101"/>
        <v>0</v>
      </c>
    </row>
    <row r="277" spans="1:7" ht="31.5">
      <c r="A277" s="108" t="s">
        <v>48</v>
      </c>
      <c r="B277" s="108">
        <v>3640120210</v>
      </c>
      <c r="C277" s="108" t="s">
        <v>69</v>
      </c>
      <c r="D277" s="107" t="s">
        <v>95</v>
      </c>
      <c r="E277" s="14">
        <f t="shared" si="101"/>
        <v>33</v>
      </c>
      <c r="F277" s="14">
        <f t="shared" si="101"/>
        <v>0</v>
      </c>
      <c r="G277" s="14">
        <f t="shared" si="101"/>
        <v>0</v>
      </c>
    </row>
    <row r="278" spans="1:7" ht="31.5">
      <c r="A278" s="108" t="s">
        <v>48</v>
      </c>
      <c r="B278" s="108">
        <v>3640120210</v>
      </c>
      <c r="C278" s="108">
        <v>240</v>
      </c>
      <c r="D278" s="107" t="s">
        <v>216</v>
      </c>
      <c r="E278" s="14">
        <f>'№ 4 ведом'!F210</f>
        <v>33</v>
      </c>
      <c r="F278" s="14">
        <f>'№ 4 ведом'!G210</f>
        <v>0</v>
      </c>
      <c r="G278" s="14">
        <f>'№ 4 ведом'!H210</f>
        <v>0</v>
      </c>
    </row>
    <row r="279" spans="1:7">
      <c r="A279" s="116" t="s">
        <v>57</v>
      </c>
      <c r="B279" s="116" t="s">
        <v>66</v>
      </c>
      <c r="C279" s="122" t="s">
        <v>66</v>
      </c>
      <c r="D279" s="13" t="s">
        <v>27</v>
      </c>
      <c r="E279" s="17">
        <f>E280+E287+E312+E398</f>
        <v>143965.1</v>
      </c>
      <c r="F279" s="17">
        <f>F280+F287+F312+F398</f>
        <v>84385.5</v>
      </c>
      <c r="G279" s="17">
        <f>G280+G287+G312+G398</f>
        <v>65890.2</v>
      </c>
    </row>
    <row r="280" spans="1:7">
      <c r="A280" s="108" t="s">
        <v>4</v>
      </c>
      <c r="B280" s="108" t="s">
        <v>66</v>
      </c>
      <c r="C280" s="50" t="s">
        <v>66</v>
      </c>
      <c r="D280" s="107" t="s">
        <v>5</v>
      </c>
      <c r="E280" s="14">
        <f>E281</f>
        <v>3749.9</v>
      </c>
      <c r="F280" s="14">
        <f t="shared" ref="F280:G280" si="104">F281</f>
        <v>3749.9</v>
      </c>
      <c r="G280" s="14">
        <f t="shared" si="104"/>
        <v>3749.9</v>
      </c>
    </row>
    <row r="281" spans="1:7" ht="47.25">
      <c r="A281" s="108" t="s">
        <v>4</v>
      </c>
      <c r="B281" s="108">
        <v>3600000000</v>
      </c>
      <c r="C281" s="108"/>
      <c r="D281" s="107" t="s">
        <v>331</v>
      </c>
      <c r="E281" s="14">
        <f t="shared" ref="E281:G285" si="105">E282</f>
        <v>3749.9</v>
      </c>
      <c r="F281" s="14">
        <f t="shared" si="105"/>
        <v>3749.9</v>
      </c>
      <c r="G281" s="14">
        <f t="shared" si="105"/>
        <v>3749.9</v>
      </c>
    </row>
    <row r="282" spans="1:7" ht="31.5">
      <c r="A282" s="108" t="s">
        <v>4</v>
      </c>
      <c r="B282" s="108">
        <v>3610000000</v>
      </c>
      <c r="C282" s="108"/>
      <c r="D282" s="107" t="s">
        <v>107</v>
      </c>
      <c r="E282" s="14">
        <f>E283</f>
        <v>3749.9</v>
      </c>
      <c r="F282" s="14">
        <f t="shared" si="105"/>
        <v>3749.9</v>
      </c>
      <c r="G282" s="14">
        <f t="shared" si="105"/>
        <v>3749.9</v>
      </c>
    </row>
    <row r="283" spans="1:7">
      <c r="A283" s="108" t="s">
        <v>4</v>
      </c>
      <c r="B283" s="108">
        <v>3610000000</v>
      </c>
      <c r="C283" s="108"/>
      <c r="D283" s="107" t="s">
        <v>108</v>
      </c>
      <c r="E283" s="14">
        <f t="shared" si="105"/>
        <v>3749.9</v>
      </c>
      <c r="F283" s="14">
        <f t="shared" si="105"/>
        <v>3749.9</v>
      </c>
      <c r="G283" s="14">
        <f t="shared" si="105"/>
        <v>3749.9</v>
      </c>
    </row>
    <row r="284" spans="1:7" ht="47.25">
      <c r="A284" s="108" t="s">
        <v>4</v>
      </c>
      <c r="B284" s="108">
        <v>3610120230</v>
      </c>
      <c r="C284" s="108"/>
      <c r="D284" s="107" t="s">
        <v>113</v>
      </c>
      <c r="E284" s="14">
        <f t="shared" si="105"/>
        <v>3749.9</v>
      </c>
      <c r="F284" s="14">
        <f t="shared" si="105"/>
        <v>3749.9</v>
      </c>
      <c r="G284" s="14">
        <f t="shared" si="105"/>
        <v>3749.9</v>
      </c>
    </row>
    <row r="285" spans="1:7" ht="31.5">
      <c r="A285" s="108" t="s">
        <v>4</v>
      </c>
      <c r="B285" s="108">
        <v>3610120230</v>
      </c>
      <c r="C285" s="108" t="s">
        <v>69</v>
      </c>
      <c r="D285" s="107" t="s">
        <v>95</v>
      </c>
      <c r="E285" s="14">
        <f t="shared" si="105"/>
        <v>3749.9</v>
      </c>
      <c r="F285" s="14">
        <f t="shared" si="105"/>
        <v>3749.9</v>
      </c>
      <c r="G285" s="14">
        <f t="shared" si="105"/>
        <v>3749.9</v>
      </c>
    </row>
    <row r="286" spans="1:7" ht="31.5">
      <c r="A286" s="108" t="s">
        <v>4</v>
      </c>
      <c r="B286" s="108">
        <v>3610120230</v>
      </c>
      <c r="C286" s="108">
        <v>240</v>
      </c>
      <c r="D286" s="107" t="s">
        <v>216</v>
      </c>
      <c r="E286" s="14">
        <f>'№ 4 ведом'!F727</f>
        <v>3749.9</v>
      </c>
      <c r="F286" s="14">
        <f>'№ 4 ведом'!G727</f>
        <v>3749.9</v>
      </c>
      <c r="G286" s="14">
        <f>'№ 4 ведом'!H727</f>
        <v>3749.9</v>
      </c>
    </row>
    <row r="287" spans="1:7">
      <c r="A287" s="58" t="s">
        <v>225</v>
      </c>
      <c r="B287" s="108"/>
      <c r="C287" s="108"/>
      <c r="D287" s="118" t="s">
        <v>226</v>
      </c>
      <c r="E287" s="14">
        <f>E288+E300</f>
        <v>36889.4</v>
      </c>
      <c r="F287" s="14">
        <f>F288+F300</f>
        <v>28500</v>
      </c>
      <c r="G287" s="14">
        <f>G288+G300</f>
        <v>14000</v>
      </c>
    </row>
    <row r="288" spans="1:7" ht="47.25">
      <c r="A288" s="58" t="s">
        <v>225</v>
      </c>
      <c r="B288" s="108">
        <v>3400000000</v>
      </c>
      <c r="C288" s="108"/>
      <c r="D288" s="30" t="s">
        <v>332</v>
      </c>
      <c r="E288" s="14">
        <f>E289</f>
        <v>3732.6000000000004</v>
      </c>
      <c r="F288" s="14">
        <f t="shared" ref="F288:G298" si="106">F289</f>
        <v>6500</v>
      </c>
      <c r="G288" s="14">
        <f t="shared" si="106"/>
        <v>0</v>
      </c>
    </row>
    <row r="289" spans="1:7" ht="31.5">
      <c r="A289" s="58" t="s">
        <v>225</v>
      </c>
      <c r="B289" s="108">
        <v>3430000000</v>
      </c>
      <c r="C289" s="108"/>
      <c r="D289" s="5" t="s">
        <v>266</v>
      </c>
      <c r="E289" s="14">
        <f>E296+E290</f>
        <v>3732.6000000000004</v>
      </c>
      <c r="F289" s="14">
        <f t="shared" ref="F289:G289" si="107">F296+F290</f>
        <v>6500</v>
      </c>
      <c r="G289" s="14">
        <f t="shared" si="107"/>
        <v>0</v>
      </c>
    </row>
    <row r="290" spans="1:7" ht="31.5">
      <c r="A290" s="58" t="s">
        <v>225</v>
      </c>
      <c r="B290" s="108">
        <v>3430100000</v>
      </c>
      <c r="C290" s="108"/>
      <c r="D290" s="33" t="s">
        <v>480</v>
      </c>
      <c r="E290" s="14">
        <f>E291</f>
        <v>2208.6000000000004</v>
      </c>
      <c r="F290" s="14">
        <f t="shared" ref="F290:G292" si="108">F291</f>
        <v>6500</v>
      </c>
      <c r="G290" s="14">
        <f t="shared" si="108"/>
        <v>0</v>
      </c>
    </row>
    <row r="291" spans="1:7">
      <c r="A291" s="58" t="s">
        <v>225</v>
      </c>
      <c r="B291" s="108">
        <v>3430120110</v>
      </c>
      <c r="C291" s="108"/>
      <c r="D291" s="5" t="s">
        <v>481</v>
      </c>
      <c r="E291" s="14">
        <f>E292+E294</f>
        <v>2208.6000000000004</v>
      </c>
      <c r="F291" s="14">
        <f t="shared" ref="F291:G291" si="109">F292+F294</f>
        <v>6500</v>
      </c>
      <c r="G291" s="14">
        <f t="shared" si="109"/>
        <v>0</v>
      </c>
    </row>
    <row r="292" spans="1:7" ht="31.5">
      <c r="A292" s="58" t="s">
        <v>225</v>
      </c>
      <c r="B292" s="108">
        <v>3430120110</v>
      </c>
      <c r="C292" s="108" t="s">
        <v>69</v>
      </c>
      <c r="D292" s="107" t="s">
        <v>95</v>
      </c>
      <c r="E292" s="14">
        <f>E293</f>
        <v>813.3</v>
      </c>
      <c r="F292" s="14">
        <f t="shared" si="108"/>
        <v>0</v>
      </c>
      <c r="G292" s="14">
        <f t="shared" si="108"/>
        <v>0</v>
      </c>
    </row>
    <row r="293" spans="1:7" ht="31.5">
      <c r="A293" s="58" t="s">
        <v>225</v>
      </c>
      <c r="B293" s="108">
        <v>3430120110</v>
      </c>
      <c r="C293" s="108">
        <v>240</v>
      </c>
      <c r="D293" s="107" t="s">
        <v>216</v>
      </c>
      <c r="E293" s="14">
        <f>'№ 4 ведом'!F218</f>
        <v>813.3</v>
      </c>
      <c r="F293" s="14">
        <f>'№ 4 ведом'!G218</f>
        <v>0</v>
      </c>
      <c r="G293" s="14">
        <f>'№ 4 ведом'!H218</f>
        <v>0</v>
      </c>
    </row>
    <row r="294" spans="1:7" ht="31.5">
      <c r="A294" s="58" t="s">
        <v>225</v>
      </c>
      <c r="B294" s="108">
        <v>3430120110</v>
      </c>
      <c r="C294" s="108" t="s">
        <v>72</v>
      </c>
      <c r="D294" s="30" t="s">
        <v>96</v>
      </c>
      <c r="E294" s="14">
        <f>E295</f>
        <v>1395.3000000000002</v>
      </c>
      <c r="F294" s="14">
        <f t="shared" ref="F294:G294" si="110">F295</f>
        <v>6500</v>
      </c>
      <c r="G294" s="14">
        <f t="shared" si="110"/>
        <v>0</v>
      </c>
    </row>
    <row r="295" spans="1:7">
      <c r="A295" s="58" t="s">
        <v>225</v>
      </c>
      <c r="B295" s="108">
        <v>3430120110</v>
      </c>
      <c r="C295" s="108" t="s">
        <v>119</v>
      </c>
      <c r="D295" s="30" t="s">
        <v>120</v>
      </c>
      <c r="E295" s="14">
        <f>'№ 4 ведом'!F220</f>
        <v>1395.3000000000002</v>
      </c>
      <c r="F295" s="14">
        <f>'№ 4 ведом'!G220</f>
        <v>6500</v>
      </c>
      <c r="G295" s="14">
        <f>'№ 4 ведом'!H220</f>
        <v>0</v>
      </c>
    </row>
    <row r="296" spans="1:7" ht="31.5">
      <c r="A296" s="58" t="s">
        <v>225</v>
      </c>
      <c r="B296" s="108">
        <v>3430200000</v>
      </c>
      <c r="C296" s="108"/>
      <c r="D296" s="30" t="s">
        <v>405</v>
      </c>
      <c r="E296" s="14">
        <f>E297</f>
        <v>1524</v>
      </c>
      <c r="F296" s="14">
        <f t="shared" si="106"/>
        <v>0</v>
      </c>
      <c r="G296" s="14">
        <f t="shared" si="106"/>
        <v>0</v>
      </c>
    </row>
    <row r="297" spans="1:7" ht="31.5">
      <c r="A297" s="58" t="s">
        <v>225</v>
      </c>
      <c r="B297" s="108">
        <v>3430220110</v>
      </c>
      <c r="C297" s="108"/>
      <c r="D297" s="30" t="s">
        <v>399</v>
      </c>
      <c r="E297" s="14">
        <f>E298</f>
        <v>1524</v>
      </c>
      <c r="F297" s="14">
        <f t="shared" si="106"/>
        <v>0</v>
      </c>
      <c r="G297" s="14">
        <f t="shared" si="106"/>
        <v>0</v>
      </c>
    </row>
    <row r="298" spans="1:7" ht="31.5">
      <c r="A298" s="58" t="s">
        <v>225</v>
      </c>
      <c r="B298" s="108">
        <v>3430220110</v>
      </c>
      <c r="C298" s="108" t="s">
        <v>69</v>
      </c>
      <c r="D298" s="107" t="s">
        <v>95</v>
      </c>
      <c r="E298" s="14">
        <f>E299</f>
        <v>1524</v>
      </c>
      <c r="F298" s="14">
        <f t="shared" si="106"/>
        <v>0</v>
      </c>
      <c r="G298" s="14">
        <f t="shared" si="106"/>
        <v>0</v>
      </c>
    </row>
    <row r="299" spans="1:7" ht="31.5">
      <c r="A299" s="58" t="s">
        <v>225</v>
      </c>
      <c r="B299" s="108">
        <v>3430220110</v>
      </c>
      <c r="C299" s="108">
        <v>240</v>
      </c>
      <c r="D299" s="107" t="s">
        <v>216</v>
      </c>
      <c r="E299" s="14">
        <f>'№ 4 ведом'!F224</f>
        <v>1524</v>
      </c>
      <c r="F299" s="14">
        <f>'№ 4 ведом'!G224</f>
        <v>0</v>
      </c>
      <c r="G299" s="14">
        <f>'№ 4 ведом'!H224</f>
        <v>0</v>
      </c>
    </row>
    <row r="300" spans="1:7">
      <c r="A300" s="58" t="s">
        <v>225</v>
      </c>
      <c r="B300" s="108">
        <v>9900000000</v>
      </c>
      <c r="C300" s="108"/>
      <c r="D300" s="107" t="s">
        <v>105</v>
      </c>
      <c r="E300" s="14">
        <f>E305+E301</f>
        <v>33156.800000000003</v>
      </c>
      <c r="F300" s="14">
        <f t="shared" ref="F300:G300" si="111">F305+F301</f>
        <v>22000</v>
      </c>
      <c r="G300" s="14">
        <f t="shared" si="111"/>
        <v>14000</v>
      </c>
    </row>
    <row r="301" spans="1:7">
      <c r="A301" s="58" t="s">
        <v>225</v>
      </c>
      <c r="B301" s="108">
        <v>9910000000</v>
      </c>
      <c r="C301" s="108"/>
      <c r="D301" s="107" t="s">
        <v>8</v>
      </c>
      <c r="E301" s="14">
        <f>E302</f>
        <v>4324.7999999999993</v>
      </c>
      <c r="F301" s="14">
        <f t="shared" ref="F301:G303" si="112">F302</f>
        <v>0</v>
      </c>
      <c r="G301" s="14">
        <f t="shared" si="112"/>
        <v>0</v>
      </c>
    </row>
    <row r="302" spans="1:7">
      <c r="A302" s="58" t="s">
        <v>225</v>
      </c>
      <c r="B302" s="108">
        <v>9910020000</v>
      </c>
      <c r="C302" s="108"/>
      <c r="D302" s="107" t="s">
        <v>253</v>
      </c>
      <c r="E302" s="14">
        <f>E303</f>
        <v>4324.7999999999993</v>
      </c>
      <c r="F302" s="14">
        <f t="shared" si="112"/>
        <v>0</v>
      </c>
      <c r="G302" s="14">
        <f t="shared" si="112"/>
        <v>0</v>
      </c>
    </row>
    <row r="303" spans="1:7" ht="31.5">
      <c r="A303" s="58" t="s">
        <v>225</v>
      </c>
      <c r="B303" s="108">
        <v>9910000000</v>
      </c>
      <c r="C303" s="108" t="s">
        <v>69</v>
      </c>
      <c r="D303" s="30" t="s">
        <v>95</v>
      </c>
      <c r="E303" s="14">
        <f>E304</f>
        <v>4324.7999999999993</v>
      </c>
      <c r="F303" s="14">
        <f t="shared" si="112"/>
        <v>0</v>
      </c>
      <c r="G303" s="14">
        <f t="shared" si="112"/>
        <v>0</v>
      </c>
    </row>
    <row r="304" spans="1:7" ht="31.5">
      <c r="A304" s="58" t="s">
        <v>225</v>
      </c>
      <c r="B304" s="108">
        <v>9910020000</v>
      </c>
      <c r="C304" s="108">
        <v>240</v>
      </c>
      <c r="D304" s="30" t="s">
        <v>216</v>
      </c>
      <c r="E304" s="14">
        <f>'№ 4 ведом'!F229</f>
        <v>4324.7999999999993</v>
      </c>
      <c r="F304" s="14">
        <f>'№ 4 ведом'!G229</f>
        <v>0</v>
      </c>
      <c r="G304" s="14">
        <f>'№ 4 ведом'!H229</f>
        <v>0</v>
      </c>
    </row>
    <row r="305" spans="1:7" ht="31.5">
      <c r="A305" s="58" t="s">
        <v>225</v>
      </c>
      <c r="B305" s="108">
        <v>9930000000</v>
      </c>
      <c r="C305" s="108"/>
      <c r="D305" s="30" t="s">
        <v>154</v>
      </c>
      <c r="E305" s="14">
        <f>E306+E309</f>
        <v>28832</v>
      </c>
      <c r="F305" s="14">
        <f t="shared" ref="F305:G305" si="113">F306+F309</f>
        <v>22000</v>
      </c>
      <c r="G305" s="14">
        <f t="shared" si="113"/>
        <v>14000</v>
      </c>
    </row>
    <row r="306" spans="1:7" ht="47.25">
      <c r="A306" s="58" t="s">
        <v>225</v>
      </c>
      <c r="B306" s="108">
        <v>9930020600</v>
      </c>
      <c r="C306" s="1"/>
      <c r="D306" s="60" t="s">
        <v>312</v>
      </c>
      <c r="E306" s="14">
        <f>E307</f>
        <v>22000</v>
      </c>
      <c r="F306" s="14">
        <f t="shared" ref="F306:G307" si="114">F307</f>
        <v>22000</v>
      </c>
      <c r="G306" s="14">
        <f t="shared" si="114"/>
        <v>14000</v>
      </c>
    </row>
    <row r="307" spans="1:7">
      <c r="A307" s="58" t="s">
        <v>225</v>
      </c>
      <c r="B307" s="108">
        <v>9930020600</v>
      </c>
      <c r="C307" s="108" t="s">
        <v>70</v>
      </c>
      <c r="D307" s="107" t="s">
        <v>71</v>
      </c>
      <c r="E307" s="14">
        <f>E308</f>
        <v>22000</v>
      </c>
      <c r="F307" s="14">
        <f t="shared" si="114"/>
        <v>22000</v>
      </c>
      <c r="G307" s="14">
        <f t="shared" si="114"/>
        <v>14000</v>
      </c>
    </row>
    <row r="308" spans="1:7">
      <c r="A308" s="58" t="s">
        <v>225</v>
      </c>
      <c r="B308" s="108">
        <v>9930020600</v>
      </c>
      <c r="C308" s="1" t="s">
        <v>159</v>
      </c>
      <c r="D308" s="26" t="s">
        <v>160</v>
      </c>
      <c r="E308" s="14">
        <f>'№ 4 ведом'!F678</f>
        <v>22000</v>
      </c>
      <c r="F308" s="14">
        <f>'№ 4 ведом'!G678</f>
        <v>22000</v>
      </c>
      <c r="G308" s="14">
        <f>'№ 4 ведом'!H678</f>
        <v>14000</v>
      </c>
    </row>
    <row r="309" spans="1:7" ht="63">
      <c r="A309" s="58" t="s">
        <v>225</v>
      </c>
      <c r="B309" s="108">
        <v>9930020800</v>
      </c>
      <c r="C309" s="108"/>
      <c r="D309" s="30" t="s">
        <v>413</v>
      </c>
      <c r="E309" s="14">
        <f>E310</f>
        <v>6832</v>
      </c>
      <c r="F309" s="14">
        <f t="shared" ref="F309:G310" si="115">F310</f>
        <v>0</v>
      </c>
      <c r="G309" s="14">
        <f t="shared" si="115"/>
        <v>0</v>
      </c>
    </row>
    <row r="310" spans="1:7">
      <c r="A310" s="58" t="s">
        <v>225</v>
      </c>
      <c r="B310" s="108">
        <v>9930020800</v>
      </c>
      <c r="C310" s="108" t="s">
        <v>70</v>
      </c>
      <c r="D310" s="107" t="s">
        <v>71</v>
      </c>
      <c r="E310" s="14">
        <f>E311</f>
        <v>6832</v>
      </c>
      <c r="F310" s="14">
        <f t="shared" si="115"/>
        <v>0</v>
      </c>
      <c r="G310" s="14">
        <f t="shared" si="115"/>
        <v>0</v>
      </c>
    </row>
    <row r="311" spans="1:7">
      <c r="A311" s="58" t="s">
        <v>225</v>
      </c>
      <c r="B311" s="108">
        <v>9930020800</v>
      </c>
      <c r="C311" s="108">
        <v>850</v>
      </c>
      <c r="D311" s="107" t="s">
        <v>100</v>
      </c>
      <c r="E311" s="14">
        <f>'№ 4 ведом'!F233</f>
        <v>6832</v>
      </c>
      <c r="F311" s="14">
        <f>'№ 4 ведом'!G233</f>
        <v>0</v>
      </c>
      <c r="G311" s="14">
        <f>'№ 4 ведом'!H233</f>
        <v>0</v>
      </c>
    </row>
    <row r="312" spans="1:7">
      <c r="A312" s="108" t="s">
        <v>49</v>
      </c>
      <c r="B312" s="108" t="s">
        <v>66</v>
      </c>
      <c r="C312" s="108" t="s">
        <v>66</v>
      </c>
      <c r="D312" s="107" t="s">
        <v>28</v>
      </c>
      <c r="E312" s="14">
        <f>E313</f>
        <v>84703.200000000012</v>
      </c>
      <c r="F312" s="14">
        <f t="shared" ref="F312:G312" si="116">F313</f>
        <v>41398.6</v>
      </c>
      <c r="G312" s="14">
        <f t="shared" si="116"/>
        <v>37403.299999999996</v>
      </c>
    </row>
    <row r="313" spans="1:7" ht="47.25">
      <c r="A313" s="108" t="s">
        <v>49</v>
      </c>
      <c r="B313" s="108">
        <v>3300000000</v>
      </c>
      <c r="C313" s="108"/>
      <c r="D313" s="107" t="s">
        <v>341</v>
      </c>
      <c r="E313" s="14">
        <f>E314+E330+E390</f>
        <v>84703.200000000012</v>
      </c>
      <c r="F313" s="14">
        <f>F314+F330+F390</f>
        <v>41398.6</v>
      </c>
      <c r="G313" s="14">
        <f>G314+G330+G390</f>
        <v>37403.299999999996</v>
      </c>
    </row>
    <row r="314" spans="1:7" ht="47.25">
      <c r="A314" s="108" t="s">
        <v>49</v>
      </c>
      <c r="B314" s="108">
        <v>3310000000</v>
      </c>
      <c r="C314" s="108"/>
      <c r="D314" s="107" t="s">
        <v>207</v>
      </c>
      <c r="E314" s="14">
        <f>E315+E319+E323</f>
        <v>19361.3</v>
      </c>
      <c r="F314" s="14">
        <f t="shared" ref="F314:G314" si="117">F315+F319+F323</f>
        <v>152.5</v>
      </c>
      <c r="G314" s="14">
        <f t="shared" si="117"/>
        <v>0</v>
      </c>
    </row>
    <row r="315" spans="1:7" ht="31.5">
      <c r="A315" s="108" t="s">
        <v>49</v>
      </c>
      <c r="B315" s="108">
        <v>3310100000</v>
      </c>
      <c r="C315" s="108"/>
      <c r="D315" s="107" t="s">
        <v>309</v>
      </c>
      <c r="E315" s="14">
        <f>E316</f>
        <v>665.3</v>
      </c>
      <c r="F315" s="14">
        <f t="shared" ref="F315:G317" si="118">F316</f>
        <v>0</v>
      </c>
      <c r="G315" s="14">
        <f t="shared" si="118"/>
        <v>0</v>
      </c>
    </row>
    <row r="316" spans="1:7">
      <c r="A316" s="108" t="s">
        <v>49</v>
      </c>
      <c r="B316" s="108">
        <v>3310120100</v>
      </c>
      <c r="C316" s="108"/>
      <c r="D316" s="33" t="s">
        <v>221</v>
      </c>
      <c r="E316" s="14">
        <f>E317</f>
        <v>665.3</v>
      </c>
      <c r="F316" s="14">
        <f t="shared" si="118"/>
        <v>0</v>
      </c>
      <c r="G316" s="14">
        <f t="shared" si="118"/>
        <v>0</v>
      </c>
    </row>
    <row r="317" spans="1:7" ht="31.5">
      <c r="A317" s="108" t="s">
        <v>49</v>
      </c>
      <c r="B317" s="108">
        <v>3310120100</v>
      </c>
      <c r="C317" s="108" t="s">
        <v>69</v>
      </c>
      <c r="D317" s="30" t="s">
        <v>95</v>
      </c>
      <c r="E317" s="14">
        <f>E318</f>
        <v>665.3</v>
      </c>
      <c r="F317" s="14">
        <f t="shared" si="118"/>
        <v>0</v>
      </c>
      <c r="G317" s="14">
        <f t="shared" si="118"/>
        <v>0</v>
      </c>
    </row>
    <row r="318" spans="1:7" ht="31.5">
      <c r="A318" s="108" t="s">
        <v>49</v>
      </c>
      <c r="B318" s="108">
        <v>3310120100</v>
      </c>
      <c r="C318" s="108">
        <v>240</v>
      </c>
      <c r="D318" s="30" t="s">
        <v>216</v>
      </c>
      <c r="E318" s="14">
        <f>'№ 4 ведом'!F240</f>
        <v>665.3</v>
      </c>
      <c r="F318" s="14">
        <f>'№ 4 ведом'!G240</f>
        <v>0</v>
      </c>
      <c r="G318" s="14">
        <f>'№ 4 ведом'!H240</f>
        <v>0</v>
      </c>
    </row>
    <row r="319" spans="1:7">
      <c r="A319" s="108" t="s">
        <v>49</v>
      </c>
      <c r="B319" s="108">
        <v>3310200000</v>
      </c>
      <c r="C319" s="108"/>
      <c r="D319" s="107" t="s">
        <v>317</v>
      </c>
      <c r="E319" s="14">
        <f>E320</f>
        <v>5694.2999999999993</v>
      </c>
      <c r="F319" s="14">
        <f t="shared" ref="F319:G321" si="119">F320</f>
        <v>0</v>
      </c>
      <c r="G319" s="14">
        <f t="shared" si="119"/>
        <v>0</v>
      </c>
    </row>
    <row r="320" spans="1:7" ht="31.5">
      <c r="A320" s="108" t="s">
        <v>49</v>
      </c>
      <c r="B320" s="108" t="s">
        <v>364</v>
      </c>
      <c r="C320" s="108"/>
      <c r="D320" s="107" t="s">
        <v>392</v>
      </c>
      <c r="E320" s="14">
        <f>E321</f>
        <v>5694.2999999999993</v>
      </c>
      <c r="F320" s="14">
        <f t="shared" si="119"/>
        <v>0</v>
      </c>
      <c r="G320" s="14">
        <f t="shared" si="119"/>
        <v>0</v>
      </c>
    </row>
    <row r="321" spans="1:7" ht="31.5">
      <c r="A321" s="108" t="s">
        <v>49</v>
      </c>
      <c r="B321" s="108" t="s">
        <v>364</v>
      </c>
      <c r="C321" s="108" t="s">
        <v>69</v>
      </c>
      <c r="D321" s="107" t="s">
        <v>95</v>
      </c>
      <c r="E321" s="14">
        <f>E322</f>
        <v>5694.2999999999993</v>
      </c>
      <c r="F321" s="14">
        <f t="shared" si="119"/>
        <v>0</v>
      </c>
      <c r="G321" s="14">
        <f t="shared" si="119"/>
        <v>0</v>
      </c>
    </row>
    <row r="322" spans="1:7" ht="31.5">
      <c r="A322" s="108" t="s">
        <v>49</v>
      </c>
      <c r="B322" s="108" t="s">
        <v>364</v>
      </c>
      <c r="C322" s="108">
        <v>240</v>
      </c>
      <c r="D322" s="107" t="s">
        <v>216</v>
      </c>
      <c r="E322" s="14">
        <f>'№ 4 ведом'!F244</f>
        <v>5694.2999999999993</v>
      </c>
      <c r="F322" s="14">
        <f>'№ 4 ведом'!G244</f>
        <v>0</v>
      </c>
      <c r="G322" s="14">
        <f>'№ 4 ведом'!H244</f>
        <v>0</v>
      </c>
    </row>
    <row r="323" spans="1:7" ht="47.25">
      <c r="A323" s="108" t="s">
        <v>49</v>
      </c>
      <c r="B323" s="108" t="s">
        <v>365</v>
      </c>
      <c r="C323" s="108" t="s">
        <v>66</v>
      </c>
      <c r="D323" s="107" t="s">
        <v>301</v>
      </c>
      <c r="E323" s="14">
        <f>E324+E327</f>
        <v>13001.7</v>
      </c>
      <c r="F323" s="14">
        <f t="shared" ref="F323:G323" si="120">F324+F327</f>
        <v>152.5</v>
      </c>
      <c r="G323" s="14">
        <f t="shared" si="120"/>
        <v>0</v>
      </c>
    </row>
    <row r="324" spans="1:7" ht="31.5">
      <c r="A324" s="108" t="s">
        <v>49</v>
      </c>
      <c r="B324" s="108" t="s">
        <v>366</v>
      </c>
      <c r="C324" s="108" t="s">
        <v>66</v>
      </c>
      <c r="D324" s="107" t="s">
        <v>302</v>
      </c>
      <c r="E324" s="14">
        <f>E325</f>
        <v>12797</v>
      </c>
      <c r="F324" s="14">
        <f t="shared" ref="F324:G325" si="121">F325</f>
        <v>152.5</v>
      </c>
      <c r="G324" s="14">
        <f t="shared" si="121"/>
        <v>0</v>
      </c>
    </row>
    <row r="325" spans="1:7" ht="31.5">
      <c r="A325" s="108" t="s">
        <v>49</v>
      </c>
      <c r="B325" s="108" t="s">
        <v>366</v>
      </c>
      <c r="C325" s="108" t="s">
        <v>69</v>
      </c>
      <c r="D325" s="107" t="s">
        <v>95</v>
      </c>
      <c r="E325" s="14">
        <f>E326</f>
        <v>12797</v>
      </c>
      <c r="F325" s="14">
        <f t="shared" si="121"/>
        <v>152.5</v>
      </c>
      <c r="G325" s="14">
        <f t="shared" si="121"/>
        <v>0</v>
      </c>
    </row>
    <row r="326" spans="1:7" ht="31.5">
      <c r="A326" s="108" t="s">
        <v>49</v>
      </c>
      <c r="B326" s="108" t="s">
        <v>366</v>
      </c>
      <c r="C326" s="108">
        <v>240</v>
      </c>
      <c r="D326" s="107" t="s">
        <v>216</v>
      </c>
      <c r="E326" s="14">
        <f>'№ 4 ведом'!F248</f>
        <v>12797</v>
      </c>
      <c r="F326" s="14">
        <f>'№ 4 ведом'!G248</f>
        <v>152.5</v>
      </c>
      <c r="G326" s="14">
        <f>'№ 4 ведом'!H248</f>
        <v>0</v>
      </c>
    </row>
    <row r="327" spans="1:7" ht="31.5">
      <c r="A327" s="108" t="s">
        <v>49</v>
      </c>
      <c r="B327" s="108" t="s">
        <v>367</v>
      </c>
      <c r="C327" s="108" t="s">
        <v>66</v>
      </c>
      <c r="D327" s="107" t="s">
        <v>310</v>
      </c>
      <c r="E327" s="14">
        <f>E328</f>
        <v>204.7</v>
      </c>
      <c r="F327" s="14">
        <f t="shared" ref="F327:G328" si="122">F328</f>
        <v>0</v>
      </c>
      <c r="G327" s="14">
        <f t="shared" si="122"/>
        <v>0</v>
      </c>
    </row>
    <row r="328" spans="1:7" ht="31.5">
      <c r="A328" s="108" t="s">
        <v>49</v>
      </c>
      <c r="B328" s="108" t="s">
        <v>367</v>
      </c>
      <c r="C328" s="108" t="s">
        <v>69</v>
      </c>
      <c r="D328" s="107" t="s">
        <v>95</v>
      </c>
      <c r="E328" s="14">
        <f>E329</f>
        <v>204.7</v>
      </c>
      <c r="F328" s="14">
        <f t="shared" si="122"/>
        <v>0</v>
      </c>
      <c r="G328" s="14">
        <f t="shared" si="122"/>
        <v>0</v>
      </c>
    </row>
    <row r="329" spans="1:7" ht="31.5">
      <c r="A329" s="108" t="s">
        <v>49</v>
      </c>
      <c r="B329" s="108" t="s">
        <v>367</v>
      </c>
      <c r="C329" s="108">
        <v>240</v>
      </c>
      <c r="D329" s="107" t="s">
        <v>216</v>
      </c>
      <c r="E329" s="14">
        <f>'№ 4 ведом'!F251</f>
        <v>204.7</v>
      </c>
      <c r="F329" s="14">
        <f>'№ 4 ведом'!G251</f>
        <v>0</v>
      </c>
      <c r="G329" s="14">
        <f>'№ 4 ведом'!H251</f>
        <v>0</v>
      </c>
    </row>
    <row r="330" spans="1:7">
      <c r="A330" s="108" t="s">
        <v>49</v>
      </c>
      <c r="B330" s="108">
        <v>3320000000</v>
      </c>
      <c r="C330" s="108"/>
      <c r="D330" s="107" t="s">
        <v>176</v>
      </c>
      <c r="E330" s="14">
        <f>E331+E359+E378+E382+E386</f>
        <v>61257.8</v>
      </c>
      <c r="F330" s="14">
        <f>F331+F359+F378+F382+F386</f>
        <v>40293</v>
      </c>
      <c r="G330" s="14">
        <f>G331+G359+G378+G382+G386</f>
        <v>37170.799999999996</v>
      </c>
    </row>
    <row r="331" spans="1:7" ht="31.5">
      <c r="A331" s="108" t="s">
        <v>49</v>
      </c>
      <c r="B331" s="108">
        <v>3320100000</v>
      </c>
      <c r="C331" s="108"/>
      <c r="D331" s="107" t="s">
        <v>318</v>
      </c>
      <c r="E331" s="14">
        <f>E338+E341+E344+E332+E335+E347+E350+E353+E356</f>
        <v>3287.7999999999997</v>
      </c>
      <c r="F331" s="14">
        <f t="shared" ref="F331:G331" si="123">F338+F341+F344+F332+F335+F347+F350+F353+F356</f>
        <v>20</v>
      </c>
      <c r="G331" s="14">
        <f t="shared" si="123"/>
        <v>0</v>
      </c>
    </row>
    <row r="332" spans="1:7" ht="63">
      <c r="A332" s="108" t="s">
        <v>49</v>
      </c>
      <c r="B332" s="108">
        <v>3320119090</v>
      </c>
      <c r="C332" s="108"/>
      <c r="D332" s="107" t="s">
        <v>416</v>
      </c>
      <c r="E332" s="14">
        <f>E333</f>
        <v>1003.9</v>
      </c>
      <c r="F332" s="14">
        <f t="shared" ref="F332:G333" si="124">F333</f>
        <v>0</v>
      </c>
      <c r="G332" s="14">
        <f t="shared" si="124"/>
        <v>0</v>
      </c>
    </row>
    <row r="333" spans="1:7" ht="31.5">
      <c r="A333" s="108" t="s">
        <v>49</v>
      </c>
      <c r="B333" s="108">
        <v>3320119090</v>
      </c>
      <c r="C333" s="108" t="s">
        <v>69</v>
      </c>
      <c r="D333" s="107" t="s">
        <v>95</v>
      </c>
      <c r="E333" s="14">
        <f>E334</f>
        <v>1003.9</v>
      </c>
      <c r="F333" s="14">
        <f t="shared" si="124"/>
        <v>0</v>
      </c>
      <c r="G333" s="14">
        <f t="shared" si="124"/>
        <v>0</v>
      </c>
    </row>
    <row r="334" spans="1:7" ht="31.5">
      <c r="A334" s="108" t="s">
        <v>49</v>
      </c>
      <c r="B334" s="108">
        <v>3320119090</v>
      </c>
      <c r="C334" s="108">
        <v>240</v>
      </c>
      <c r="D334" s="107" t="s">
        <v>216</v>
      </c>
      <c r="E334" s="14">
        <f>'№ 4 ведом'!F256</f>
        <v>1003.9</v>
      </c>
      <c r="F334" s="14">
        <f>'№ 4 ведом'!G256</f>
        <v>0</v>
      </c>
      <c r="G334" s="14">
        <f>'№ 4 ведом'!H256</f>
        <v>0</v>
      </c>
    </row>
    <row r="335" spans="1:7" ht="63">
      <c r="A335" s="108" t="s">
        <v>49</v>
      </c>
      <c r="B335" s="108">
        <v>3320119100</v>
      </c>
      <c r="C335" s="108"/>
      <c r="D335" s="107" t="s">
        <v>798</v>
      </c>
      <c r="E335" s="14">
        <f>E336</f>
        <v>1476.5</v>
      </c>
      <c r="F335" s="14">
        <f t="shared" ref="F335:G336" si="125">F336</f>
        <v>0</v>
      </c>
      <c r="G335" s="14">
        <f t="shared" si="125"/>
        <v>0</v>
      </c>
    </row>
    <row r="336" spans="1:7" ht="31.5">
      <c r="A336" s="108" t="s">
        <v>49</v>
      </c>
      <c r="B336" s="108">
        <v>3320119100</v>
      </c>
      <c r="C336" s="108" t="s">
        <v>69</v>
      </c>
      <c r="D336" s="107" t="s">
        <v>95</v>
      </c>
      <c r="E336" s="14">
        <f>E337</f>
        <v>1476.5</v>
      </c>
      <c r="F336" s="14">
        <f t="shared" si="125"/>
        <v>0</v>
      </c>
      <c r="G336" s="14">
        <f t="shared" si="125"/>
        <v>0</v>
      </c>
    </row>
    <row r="337" spans="1:7" ht="31.5">
      <c r="A337" s="108" t="s">
        <v>49</v>
      </c>
      <c r="B337" s="108">
        <v>3320119100</v>
      </c>
      <c r="C337" s="108">
        <v>240</v>
      </c>
      <c r="D337" s="107" t="s">
        <v>216</v>
      </c>
      <c r="E337" s="14">
        <f>'№ 4 ведом'!F259</f>
        <v>1476.5</v>
      </c>
      <c r="F337" s="14">
        <f>'№ 4 ведом'!G259</f>
        <v>0</v>
      </c>
      <c r="G337" s="14">
        <f>'№ 4 ведом'!H259</f>
        <v>0</v>
      </c>
    </row>
    <row r="338" spans="1:7">
      <c r="A338" s="108" t="s">
        <v>49</v>
      </c>
      <c r="B338" s="108">
        <v>3320120100</v>
      </c>
      <c r="C338" s="108"/>
      <c r="D338" s="107" t="s">
        <v>221</v>
      </c>
      <c r="E338" s="14">
        <f>E339</f>
        <v>449.99999999999989</v>
      </c>
      <c r="F338" s="14">
        <f t="shared" ref="F338:G339" si="126">F339</f>
        <v>0</v>
      </c>
      <c r="G338" s="14">
        <f t="shared" si="126"/>
        <v>0</v>
      </c>
    </row>
    <row r="339" spans="1:7" ht="31.5">
      <c r="A339" s="108" t="s">
        <v>49</v>
      </c>
      <c r="B339" s="108">
        <v>3320120100</v>
      </c>
      <c r="C339" s="108" t="s">
        <v>69</v>
      </c>
      <c r="D339" s="107" t="s">
        <v>95</v>
      </c>
      <c r="E339" s="14">
        <f>E340</f>
        <v>449.99999999999989</v>
      </c>
      <c r="F339" s="14">
        <f t="shared" si="126"/>
        <v>0</v>
      </c>
      <c r="G339" s="14">
        <f t="shared" si="126"/>
        <v>0</v>
      </c>
    </row>
    <row r="340" spans="1:7" ht="31.5">
      <c r="A340" s="108" t="s">
        <v>49</v>
      </c>
      <c r="B340" s="108">
        <v>3320120100</v>
      </c>
      <c r="C340" s="108">
        <v>240</v>
      </c>
      <c r="D340" s="107" t="s">
        <v>216</v>
      </c>
      <c r="E340" s="14">
        <f>'№ 4 ведом'!F262</f>
        <v>449.99999999999989</v>
      </c>
      <c r="F340" s="14">
        <f>'№ 4 ведом'!G262</f>
        <v>0</v>
      </c>
      <c r="G340" s="14">
        <f>'№ 4 ведом'!H262</f>
        <v>0</v>
      </c>
    </row>
    <row r="341" spans="1:7" ht="63">
      <c r="A341" s="108" t="s">
        <v>49</v>
      </c>
      <c r="B341" s="108">
        <v>3320129090</v>
      </c>
      <c r="C341" s="108"/>
      <c r="D341" s="107" t="s">
        <v>322</v>
      </c>
      <c r="E341" s="14">
        <f>E342</f>
        <v>186.4</v>
      </c>
      <c r="F341" s="14">
        <f t="shared" ref="F341:G342" si="127">F342</f>
        <v>0</v>
      </c>
      <c r="G341" s="14">
        <f t="shared" si="127"/>
        <v>0</v>
      </c>
    </row>
    <row r="342" spans="1:7" ht="31.5">
      <c r="A342" s="108" t="s">
        <v>49</v>
      </c>
      <c r="B342" s="108">
        <v>3320129090</v>
      </c>
      <c r="C342" s="108" t="s">
        <v>69</v>
      </c>
      <c r="D342" s="107" t="s">
        <v>95</v>
      </c>
      <c r="E342" s="14">
        <f>E343</f>
        <v>186.4</v>
      </c>
      <c r="F342" s="14">
        <f t="shared" si="127"/>
        <v>0</v>
      </c>
      <c r="G342" s="14">
        <f t="shared" si="127"/>
        <v>0</v>
      </c>
    </row>
    <row r="343" spans="1:7" ht="31.5">
      <c r="A343" s="108" t="s">
        <v>49</v>
      </c>
      <c r="B343" s="108">
        <v>3320129090</v>
      </c>
      <c r="C343" s="108">
        <v>240</v>
      </c>
      <c r="D343" s="107" t="s">
        <v>216</v>
      </c>
      <c r="E343" s="14">
        <f>'№ 4 ведом'!F265</f>
        <v>186.4</v>
      </c>
      <c r="F343" s="14">
        <f>'№ 4 ведом'!G265</f>
        <v>0</v>
      </c>
      <c r="G343" s="14">
        <f>'№ 4 ведом'!H265</f>
        <v>0</v>
      </c>
    </row>
    <row r="344" spans="1:7" ht="63">
      <c r="A344" s="108" t="s">
        <v>49</v>
      </c>
      <c r="B344" s="108">
        <v>3320129100</v>
      </c>
      <c r="C344" s="108"/>
      <c r="D344" s="107" t="s">
        <v>799</v>
      </c>
      <c r="E344" s="14">
        <f>E345</f>
        <v>171</v>
      </c>
      <c r="F344" s="14">
        <f t="shared" ref="F344:G345" si="128">F345</f>
        <v>0</v>
      </c>
      <c r="G344" s="14">
        <f t="shared" si="128"/>
        <v>0</v>
      </c>
    </row>
    <row r="345" spans="1:7" ht="31.5">
      <c r="A345" s="108" t="s">
        <v>49</v>
      </c>
      <c r="B345" s="108">
        <v>3320129100</v>
      </c>
      <c r="C345" s="108" t="s">
        <v>69</v>
      </c>
      <c r="D345" s="107" t="s">
        <v>95</v>
      </c>
      <c r="E345" s="14">
        <f>E346</f>
        <v>171</v>
      </c>
      <c r="F345" s="14">
        <f t="shared" si="128"/>
        <v>0</v>
      </c>
      <c r="G345" s="14">
        <f t="shared" si="128"/>
        <v>0</v>
      </c>
    </row>
    <row r="346" spans="1:7" ht="31.5">
      <c r="A346" s="108" t="s">
        <v>49</v>
      </c>
      <c r="B346" s="108">
        <v>3320129100</v>
      </c>
      <c r="C346" s="108">
        <v>240</v>
      </c>
      <c r="D346" s="107" t="s">
        <v>216</v>
      </c>
      <c r="E346" s="14">
        <f>'№ 4 ведом'!F268</f>
        <v>171</v>
      </c>
      <c r="F346" s="14">
        <f>'№ 4 ведом'!G268</f>
        <v>0</v>
      </c>
      <c r="G346" s="14">
        <f>'№ 4 ведом'!H268</f>
        <v>0</v>
      </c>
    </row>
    <row r="347" spans="1:7" ht="63">
      <c r="A347" s="108" t="s">
        <v>49</v>
      </c>
      <c r="B347" s="108">
        <v>3320129101</v>
      </c>
      <c r="C347" s="108"/>
      <c r="D347" s="107" t="s">
        <v>806</v>
      </c>
      <c r="E347" s="14">
        <f>E348</f>
        <v>0</v>
      </c>
      <c r="F347" s="14">
        <f t="shared" ref="F347:G348" si="129">F348</f>
        <v>5</v>
      </c>
      <c r="G347" s="14">
        <f t="shared" si="129"/>
        <v>0</v>
      </c>
    </row>
    <row r="348" spans="1:7" ht="31.5">
      <c r="A348" s="108" t="s">
        <v>49</v>
      </c>
      <c r="B348" s="108">
        <v>3320129101</v>
      </c>
      <c r="C348" s="108" t="s">
        <v>69</v>
      </c>
      <c r="D348" s="107" t="s">
        <v>95</v>
      </c>
      <c r="E348" s="14">
        <f>E349</f>
        <v>0</v>
      </c>
      <c r="F348" s="14">
        <f t="shared" si="129"/>
        <v>5</v>
      </c>
      <c r="G348" s="14">
        <f t="shared" si="129"/>
        <v>0</v>
      </c>
    </row>
    <row r="349" spans="1:7" ht="31.5">
      <c r="A349" s="108" t="s">
        <v>49</v>
      </c>
      <c r="B349" s="108">
        <v>3320129101</v>
      </c>
      <c r="C349" s="108">
        <v>240</v>
      </c>
      <c r="D349" s="107" t="s">
        <v>216</v>
      </c>
      <c r="E349" s="14">
        <f>'№ 4 ведом'!F271</f>
        <v>0</v>
      </c>
      <c r="F349" s="14">
        <f>'№ 4 ведом'!G271</f>
        <v>5</v>
      </c>
      <c r="G349" s="14">
        <f>'№ 4 ведом'!H271</f>
        <v>0</v>
      </c>
    </row>
    <row r="350" spans="1:7" ht="63">
      <c r="A350" s="108" t="s">
        <v>49</v>
      </c>
      <c r="B350" s="108">
        <v>3320129102</v>
      </c>
      <c r="C350" s="108"/>
      <c r="D350" s="107" t="s">
        <v>807</v>
      </c>
      <c r="E350" s="14">
        <f>E351</f>
        <v>0</v>
      </c>
      <c r="F350" s="14">
        <f t="shared" ref="F350:G351" si="130">F351</f>
        <v>5</v>
      </c>
      <c r="G350" s="14">
        <f t="shared" si="130"/>
        <v>0</v>
      </c>
    </row>
    <row r="351" spans="1:7" ht="31.5">
      <c r="A351" s="108" t="s">
        <v>49</v>
      </c>
      <c r="B351" s="108">
        <v>3320129102</v>
      </c>
      <c r="C351" s="108" t="s">
        <v>69</v>
      </c>
      <c r="D351" s="107" t="s">
        <v>95</v>
      </c>
      <c r="E351" s="14">
        <f>E352</f>
        <v>0</v>
      </c>
      <c r="F351" s="14">
        <f t="shared" si="130"/>
        <v>5</v>
      </c>
      <c r="G351" s="14">
        <f t="shared" si="130"/>
        <v>0</v>
      </c>
    </row>
    <row r="352" spans="1:7" ht="31.5">
      <c r="A352" s="108" t="s">
        <v>49</v>
      </c>
      <c r="B352" s="108">
        <v>3320129102</v>
      </c>
      <c r="C352" s="108">
        <v>240</v>
      </c>
      <c r="D352" s="107" t="s">
        <v>216</v>
      </c>
      <c r="E352" s="14">
        <f>'№ 4 ведом'!F274</f>
        <v>0</v>
      </c>
      <c r="F352" s="14">
        <f>'№ 4 ведом'!G274</f>
        <v>5</v>
      </c>
      <c r="G352" s="14">
        <f>'№ 4 ведом'!H274</f>
        <v>0</v>
      </c>
    </row>
    <row r="353" spans="1:7" ht="63">
      <c r="A353" s="108" t="s">
        <v>49</v>
      </c>
      <c r="B353" s="108">
        <v>3320129103</v>
      </c>
      <c r="C353" s="108"/>
      <c r="D353" s="107" t="s">
        <v>808</v>
      </c>
      <c r="E353" s="14">
        <f>E354</f>
        <v>0</v>
      </c>
      <c r="F353" s="14">
        <f>F354</f>
        <v>5</v>
      </c>
      <c r="G353" s="14">
        <f t="shared" ref="G353:G354" si="131">G354</f>
        <v>0</v>
      </c>
    </row>
    <row r="354" spans="1:7" ht="31.5">
      <c r="A354" s="108" t="s">
        <v>49</v>
      </c>
      <c r="B354" s="108">
        <v>3320129103</v>
      </c>
      <c r="C354" s="108" t="s">
        <v>69</v>
      </c>
      <c r="D354" s="107" t="s">
        <v>95</v>
      </c>
      <c r="E354" s="14">
        <f>E355</f>
        <v>0</v>
      </c>
      <c r="F354" s="14">
        <f t="shared" ref="F354" si="132">F355</f>
        <v>5</v>
      </c>
      <c r="G354" s="14">
        <f t="shared" si="131"/>
        <v>0</v>
      </c>
    </row>
    <row r="355" spans="1:7" ht="31.5">
      <c r="A355" s="108" t="s">
        <v>49</v>
      </c>
      <c r="B355" s="108">
        <v>3320129103</v>
      </c>
      <c r="C355" s="108">
        <v>240</v>
      </c>
      <c r="D355" s="107" t="s">
        <v>216</v>
      </c>
      <c r="E355" s="14">
        <f>'№ 4 ведом'!F277</f>
        <v>0</v>
      </c>
      <c r="F355" s="14">
        <f>'№ 4 ведом'!G277</f>
        <v>5</v>
      </c>
      <c r="G355" s="14">
        <f>'№ 4 ведом'!H277</f>
        <v>0</v>
      </c>
    </row>
    <row r="356" spans="1:7" ht="63">
      <c r="A356" s="108" t="s">
        <v>49</v>
      </c>
      <c r="B356" s="108">
        <v>3320129104</v>
      </c>
      <c r="C356" s="108"/>
      <c r="D356" s="107" t="s">
        <v>809</v>
      </c>
      <c r="E356" s="14">
        <f>E357</f>
        <v>0</v>
      </c>
      <c r="F356" s="14">
        <f>F357</f>
        <v>5</v>
      </c>
      <c r="G356" s="14">
        <f t="shared" ref="G356:G357" si="133">G357</f>
        <v>0</v>
      </c>
    </row>
    <row r="357" spans="1:7" ht="31.5">
      <c r="A357" s="108" t="s">
        <v>49</v>
      </c>
      <c r="B357" s="108">
        <v>3320129104</v>
      </c>
      <c r="C357" s="108" t="s">
        <v>69</v>
      </c>
      <c r="D357" s="107" t="s">
        <v>95</v>
      </c>
      <c r="E357" s="14">
        <f>E358</f>
        <v>0</v>
      </c>
      <c r="F357" s="14">
        <f t="shared" ref="F357" si="134">F358</f>
        <v>5</v>
      </c>
      <c r="G357" s="14">
        <f t="shared" si="133"/>
        <v>0</v>
      </c>
    </row>
    <row r="358" spans="1:7" ht="31.5">
      <c r="A358" s="108" t="s">
        <v>49</v>
      </c>
      <c r="B358" s="108">
        <v>3320129104</v>
      </c>
      <c r="C358" s="108">
        <v>240</v>
      </c>
      <c r="D358" s="107" t="s">
        <v>216</v>
      </c>
      <c r="E358" s="14">
        <f>'№ 4 ведом'!F280</f>
        <v>0</v>
      </c>
      <c r="F358" s="14">
        <f>'№ 4 ведом'!G280</f>
        <v>5</v>
      </c>
      <c r="G358" s="14">
        <f>'№ 4 ведом'!H280</f>
        <v>0</v>
      </c>
    </row>
    <row r="359" spans="1:7">
      <c r="A359" s="108" t="s">
        <v>49</v>
      </c>
      <c r="B359" s="108">
        <v>3320200000</v>
      </c>
      <c r="C359" s="108"/>
      <c r="D359" s="107" t="s">
        <v>128</v>
      </c>
      <c r="E359" s="14">
        <f>E360+E363+E366+E372+E369+E375</f>
        <v>44928.2</v>
      </c>
      <c r="F359" s="14">
        <f t="shared" ref="F359:G359" si="135">F360+F363+F366+F372+F369+F375</f>
        <v>28065.599999999999</v>
      </c>
      <c r="G359" s="14">
        <f t="shared" si="135"/>
        <v>24963.399999999998</v>
      </c>
    </row>
    <row r="360" spans="1:7">
      <c r="A360" s="108" t="s">
        <v>49</v>
      </c>
      <c r="B360" s="108">
        <v>3320220050</v>
      </c>
      <c r="C360" s="108"/>
      <c r="D360" s="107" t="s">
        <v>129</v>
      </c>
      <c r="E360" s="14">
        <f>E361</f>
        <v>20868.099999999999</v>
      </c>
      <c r="F360" s="14">
        <f t="shared" ref="F360:G361" si="136">F361</f>
        <v>20868.099999999999</v>
      </c>
      <c r="G360" s="14">
        <f t="shared" si="136"/>
        <v>20868.099999999999</v>
      </c>
    </row>
    <row r="361" spans="1:7" ht="31.5">
      <c r="A361" s="108" t="s">
        <v>49</v>
      </c>
      <c r="B361" s="108">
        <v>3320220050</v>
      </c>
      <c r="C361" s="108" t="s">
        <v>69</v>
      </c>
      <c r="D361" s="107" t="s">
        <v>95</v>
      </c>
      <c r="E361" s="14">
        <f>E362</f>
        <v>20868.099999999999</v>
      </c>
      <c r="F361" s="14">
        <f t="shared" si="136"/>
        <v>20868.099999999999</v>
      </c>
      <c r="G361" s="14">
        <f t="shared" si="136"/>
        <v>20868.099999999999</v>
      </c>
    </row>
    <row r="362" spans="1:7" ht="31.5">
      <c r="A362" s="108" t="s">
        <v>49</v>
      </c>
      <c r="B362" s="108">
        <v>3320220050</v>
      </c>
      <c r="C362" s="108">
        <v>240</v>
      </c>
      <c r="D362" s="107" t="s">
        <v>216</v>
      </c>
      <c r="E362" s="14">
        <f>'№ 4 ведом'!F284</f>
        <v>20868.099999999999</v>
      </c>
      <c r="F362" s="14">
        <f>'№ 4 ведом'!G284</f>
        <v>20868.099999999999</v>
      </c>
      <c r="G362" s="14">
        <f>'№ 4 ведом'!H284</f>
        <v>20868.099999999999</v>
      </c>
    </row>
    <row r="363" spans="1:7">
      <c r="A363" s="108" t="s">
        <v>49</v>
      </c>
      <c r="B363" s="108">
        <v>3320220070</v>
      </c>
      <c r="C363" s="108"/>
      <c r="D363" s="107" t="s">
        <v>130</v>
      </c>
      <c r="E363" s="14">
        <f>E364</f>
        <v>8342</v>
      </c>
      <c r="F363" s="14">
        <f t="shared" ref="F363:G364" si="137">F364</f>
        <v>6197.5</v>
      </c>
      <c r="G363" s="14">
        <f t="shared" si="137"/>
        <v>4095.3</v>
      </c>
    </row>
    <row r="364" spans="1:7" ht="31.5">
      <c r="A364" s="108" t="s">
        <v>49</v>
      </c>
      <c r="B364" s="108">
        <v>3320220070</v>
      </c>
      <c r="C364" s="108" t="s">
        <v>69</v>
      </c>
      <c r="D364" s="107" t="s">
        <v>95</v>
      </c>
      <c r="E364" s="14">
        <f>E365</f>
        <v>8342</v>
      </c>
      <c r="F364" s="14">
        <f t="shared" si="137"/>
        <v>6197.5</v>
      </c>
      <c r="G364" s="14">
        <f t="shared" si="137"/>
        <v>4095.3</v>
      </c>
    </row>
    <row r="365" spans="1:7" ht="31.5">
      <c r="A365" s="108" t="s">
        <v>49</v>
      </c>
      <c r="B365" s="108">
        <v>3320220070</v>
      </c>
      <c r="C365" s="108">
        <v>240</v>
      </c>
      <c r="D365" s="107" t="s">
        <v>216</v>
      </c>
      <c r="E365" s="14">
        <f>'№ 4 ведом'!F287</f>
        <v>8342</v>
      </c>
      <c r="F365" s="14">
        <f>'№ 4 ведом'!G287</f>
        <v>6197.5</v>
      </c>
      <c r="G365" s="14">
        <f>'№ 4 ведом'!H287</f>
        <v>4095.3</v>
      </c>
    </row>
    <row r="366" spans="1:7">
      <c r="A366" s="108" t="s">
        <v>49</v>
      </c>
      <c r="B366" s="108">
        <v>3320220080</v>
      </c>
      <c r="C366" s="108"/>
      <c r="D366" s="107" t="s">
        <v>131</v>
      </c>
      <c r="E366" s="14">
        <f>E367</f>
        <v>3162</v>
      </c>
      <c r="F366" s="14">
        <f t="shared" ref="F366:G367" si="138">F367</f>
        <v>1000</v>
      </c>
      <c r="G366" s="14">
        <f t="shared" si="138"/>
        <v>0</v>
      </c>
    </row>
    <row r="367" spans="1:7" ht="31.5">
      <c r="A367" s="108" t="s">
        <v>49</v>
      </c>
      <c r="B367" s="108">
        <v>3320220080</v>
      </c>
      <c r="C367" s="108" t="s">
        <v>69</v>
      </c>
      <c r="D367" s="107" t="s">
        <v>95</v>
      </c>
      <c r="E367" s="14">
        <f>E368</f>
        <v>3162</v>
      </c>
      <c r="F367" s="14">
        <f t="shared" si="138"/>
        <v>1000</v>
      </c>
      <c r="G367" s="14">
        <f t="shared" si="138"/>
        <v>0</v>
      </c>
    </row>
    <row r="368" spans="1:7" ht="31.5">
      <c r="A368" s="108" t="s">
        <v>49</v>
      </c>
      <c r="B368" s="108">
        <v>3320220080</v>
      </c>
      <c r="C368" s="108">
        <v>240</v>
      </c>
      <c r="D368" s="107" t="s">
        <v>216</v>
      </c>
      <c r="E368" s="14">
        <f>'№ 4 ведом'!F290</f>
        <v>3162</v>
      </c>
      <c r="F368" s="14">
        <f>'№ 4 ведом'!G290</f>
        <v>1000</v>
      </c>
      <c r="G368" s="14">
        <f>'№ 4 ведом'!H290</f>
        <v>0</v>
      </c>
    </row>
    <row r="369" spans="1:7">
      <c r="A369" s="108" t="s">
        <v>49</v>
      </c>
      <c r="B369" s="108">
        <v>3320220090</v>
      </c>
      <c r="C369" s="108"/>
      <c r="D369" s="5" t="s">
        <v>444</v>
      </c>
      <c r="E369" s="14">
        <f>E370</f>
        <v>580.10000000000014</v>
      </c>
      <c r="F369" s="14">
        <f t="shared" ref="F369:G370" si="139">F370</f>
        <v>0</v>
      </c>
      <c r="G369" s="14">
        <f t="shared" si="139"/>
        <v>0</v>
      </c>
    </row>
    <row r="370" spans="1:7" ht="31.5">
      <c r="A370" s="108" t="s">
        <v>49</v>
      </c>
      <c r="B370" s="108">
        <v>3320220090</v>
      </c>
      <c r="C370" s="108" t="s">
        <v>69</v>
      </c>
      <c r="D370" s="107" t="s">
        <v>95</v>
      </c>
      <c r="E370" s="14">
        <f>E371</f>
        <v>580.10000000000014</v>
      </c>
      <c r="F370" s="14">
        <f t="shared" si="139"/>
        <v>0</v>
      </c>
      <c r="G370" s="14">
        <f t="shared" si="139"/>
        <v>0</v>
      </c>
    </row>
    <row r="371" spans="1:7" ht="31.5">
      <c r="A371" s="108" t="s">
        <v>49</v>
      </c>
      <c r="B371" s="108">
        <v>3320220090</v>
      </c>
      <c r="C371" s="108">
        <v>240</v>
      </c>
      <c r="D371" s="107" t="s">
        <v>216</v>
      </c>
      <c r="E371" s="14">
        <f>'№ 4 ведом'!F293</f>
        <v>580.10000000000014</v>
      </c>
      <c r="F371" s="14">
        <f>'№ 4 ведом'!G293</f>
        <v>0</v>
      </c>
      <c r="G371" s="14">
        <f>'№ 4 ведом'!H293</f>
        <v>0</v>
      </c>
    </row>
    <row r="372" spans="1:7">
      <c r="A372" s="108" t="s">
        <v>49</v>
      </c>
      <c r="B372" s="108">
        <v>3320220110</v>
      </c>
      <c r="C372" s="108"/>
      <c r="D372" s="107" t="s">
        <v>272</v>
      </c>
      <c r="E372" s="14">
        <f>E373</f>
        <v>11405</v>
      </c>
      <c r="F372" s="14">
        <f t="shared" ref="F372:G373" si="140">F373</f>
        <v>0</v>
      </c>
      <c r="G372" s="14">
        <f t="shared" si="140"/>
        <v>0</v>
      </c>
    </row>
    <row r="373" spans="1:7" ht="31.5">
      <c r="A373" s="108" t="s">
        <v>49</v>
      </c>
      <c r="B373" s="108">
        <v>3320220110</v>
      </c>
      <c r="C373" s="108" t="s">
        <v>69</v>
      </c>
      <c r="D373" s="107" t="s">
        <v>95</v>
      </c>
      <c r="E373" s="14">
        <f>E374</f>
        <v>11405</v>
      </c>
      <c r="F373" s="14">
        <f t="shared" si="140"/>
        <v>0</v>
      </c>
      <c r="G373" s="14">
        <f t="shared" si="140"/>
        <v>0</v>
      </c>
    </row>
    <row r="374" spans="1:7" ht="31.5">
      <c r="A374" s="108" t="s">
        <v>49</v>
      </c>
      <c r="B374" s="108">
        <v>3320220110</v>
      </c>
      <c r="C374" s="108">
        <v>240</v>
      </c>
      <c r="D374" s="107" t="s">
        <v>216</v>
      </c>
      <c r="E374" s="14">
        <f>'№ 4 ведом'!F296</f>
        <v>11405</v>
      </c>
      <c r="F374" s="14">
        <f>'№ 4 ведом'!G296</f>
        <v>0</v>
      </c>
      <c r="G374" s="14">
        <f>'№ 4 ведом'!H296</f>
        <v>0</v>
      </c>
    </row>
    <row r="375" spans="1:7">
      <c r="A375" s="108" t="s">
        <v>49</v>
      </c>
      <c r="B375" s="108" t="s">
        <v>470</v>
      </c>
      <c r="C375" s="108"/>
      <c r="D375" s="107" t="s">
        <v>471</v>
      </c>
      <c r="E375" s="14">
        <f>E376</f>
        <v>571</v>
      </c>
      <c r="F375" s="14">
        <f t="shared" ref="F375:G376" si="141">F376</f>
        <v>0</v>
      </c>
      <c r="G375" s="14">
        <f t="shared" si="141"/>
        <v>0</v>
      </c>
    </row>
    <row r="376" spans="1:7" ht="31.5">
      <c r="A376" s="108" t="s">
        <v>49</v>
      </c>
      <c r="B376" s="108" t="s">
        <v>470</v>
      </c>
      <c r="C376" s="108" t="s">
        <v>69</v>
      </c>
      <c r="D376" s="107" t="s">
        <v>95</v>
      </c>
      <c r="E376" s="14">
        <f>E377</f>
        <v>571</v>
      </c>
      <c r="F376" s="14">
        <f t="shared" si="141"/>
        <v>0</v>
      </c>
      <c r="G376" s="14">
        <f t="shared" si="141"/>
        <v>0</v>
      </c>
    </row>
    <row r="377" spans="1:7" ht="31.5">
      <c r="A377" s="108" t="s">
        <v>49</v>
      </c>
      <c r="B377" s="108" t="s">
        <v>470</v>
      </c>
      <c r="C377" s="108">
        <v>240</v>
      </c>
      <c r="D377" s="107" t="s">
        <v>216</v>
      </c>
      <c r="E377" s="14">
        <f>'№ 4 ведом'!F299</f>
        <v>571</v>
      </c>
      <c r="F377" s="14">
        <f>'№ 4 ведом'!G299</f>
        <v>0</v>
      </c>
      <c r="G377" s="14">
        <f>'№ 4 ведом'!H299</f>
        <v>0</v>
      </c>
    </row>
    <row r="378" spans="1:7">
      <c r="A378" s="108" t="s">
        <v>49</v>
      </c>
      <c r="B378" s="108">
        <v>3320300000</v>
      </c>
      <c r="C378" s="108"/>
      <c r="D378" s="107" t="s">
        <v>286</v>
      </c>
      <c r="E378" s="14">
        <f>E379</f>
        <v>1072.0999999999999</v>
      </c>
      <c r="F378" s="14">
        <f t="shared" ref="F378:G380" si="142">F379</f>
        <v>0</v>
      </c>
      <c r="G378" s="14">
        <f t="shared" si="142"/>
        <v>0</v>
      </c>
    </row>
    <row r="379" spans="1:7">
      <c r="A379" s="108" t="s">
        <v>49</v>
      </c>
      <c r="B379" s="108">
        <v>3320320060</v>
      </c>
      <c r="C379" s="108"/>
      <c r="D379" s="107" t="s">
        <v>287</v>
      </c>
      <c r="E379" s="14">
        <f>E380</f>
        <v>1072.0999999999999</v>
      </c>
      <c r="F379" s="14">
        <f t="shared" si="142"/>
        <v>0</v>
      </c>
      <c r="G379" s="14">
        <f t="shared" si="142"/>
        <v>0</v>
      </c>
    </row>
    <row r="380" spans="1:7" ht="31.5">
      <c r="A380" s="108" t="s">
        <v>49</v>
      </c>
      <c r="B380" s="108">
        <v>3320320060</v>
      </c>
      <c r="C380" s="108" t="s">
        <v>72</v>
      </c>
      <c r="D380" s="30" t="s">
        <v>96</v>
      </c>
      <c r="E380" s="14">
        <f>E381</f>
        <v>1072.0999999999999</v>
      </c>
      <c r="F380" s="14">
        <f t="shared" si="142"/>
        <v>0</v>
      </c>
      <c r="G380" s="14">
        <f t="shared" si="142"/>
        <v>0</v>
      </c>
    </row>
    <row r="381" spans="1:7">
      <c r="A381" s="108" t="s">
        <v>49</v>
      </c>
      <c r="B381" s="108">
        <v>3320320060</v>
      </c>
      <c r="C381" s="108" t="s">
        <v>119</v>
      </c>
      <c r="D381" s="30" t="s">
        <v>120</v>
      </c>
      <c r="E381" s="14">
        <f>'№ 4 ведом'!F303</f>
        <v>1072.0999999999999</v>
      </c>
      <c r="F381" s="14">
        <f>'№ 4 ведом'!G303</f>
        <v>0</v>
      </c>
      <c r="G381" s="14">
        <f>'№ 4 ведом'!H303</f>
        <v>0</v>
      </c>
    </row>
    <row r="382" spans="1:7" ht="47.25">
      <c r="A382" s="108" t="s">
        <v>49</v>
      </c>
      <c r="B382" s="108">
        <v>3320400000</v>
      </c>
      <c r="C382" s="108"/>
      <c r="D382" s="107" t="s">
        <v>313</v>
      </c>
      <c r="E382" s="14">
        <f>E383</f>
        <v>11864.4</v>
      </c>
      <c r="F382" s="14">
        <f t="shared" ref="F382:G384" si="143">F383</f>
        <v>12207.4</v>
      </c>
      <c r="G382" s="14">
        <f t="shared" si="143"/>
        <v>12207.4</v>
      </c>
    </row>
    <row r="383" spans="1:7" ht="31.5">
      <c r="A383" s="108" t="s">
        <v>49</v>
      </c>
      <c r="B383" s="108">
        <v>3320420010</v>
      </c>
      <c r="C383" s="108"/>
      <c r="D383" s="107" t="s">
        <v>123</v>
      </c>
      <c r="E383" s="14">
        <f>E384</f>
        <v>11864.4</v>
      </c>
      <c r="F383" s="14">
        <f t="shared" si="143"/>
        <v>12207.4</v>
      </c>
      <c r="G383" s="14">
        <f t="shared" si="143"/>
        <v>12207.4</v>
      </c>
    </row>
    <row r="384" spans="1:7" ht="31.5">
      <c r="A384" s="108" t="s">
        <v>49</v>
      </c>
      <c r="B384" s="108">
        <v>3320420010</v>
      </c>
      <c r="C384" s="108">
        <v>600</v>
      </c>
      <c r="D384" s="107" t="s">
        <v>83</v>
      </c>
      <c r="E384" s="14">
        <f>E385</f>
        <v>11864.4</v>
      </c>
      <c r="F384" s="14">
        <f t="shared" si="143"/>
        <v>12207.4</v>
      </c>
      <c r="G384" s="14">
        <f t="shared" si="143"/>
        <v>12207.4</v>
      </c>
    </row>
    <row r="385" spans="1:7">
      <c r="A385" s="108" t="s">
        <v>49</v>
      </c>
      <c r="B385" s="108">
        <v>3320420010</v>
      </c>
      <c r="C385" s="108">
        <v>610</v>
      </c>
      <c r="D385" s="107" t="s">
        <v>104</v>
      </c>
      <c r="E385" s="14">
        <f>'№ 4 ведом'!F307</f>
        <v>11864.4</v>
      </c>
      <c r="F385" s="14">
        <f>'№ 4 ведом'!G307</f>
        <v>12207.4</v>
      </c>
      <c r="G385" s="14">
        <f>'№ 4 ведом'!H307</f>
        <v>12207.4</v>
      </c>
    </row>
    <row r="386" spans="1:7" ht="31.5">
      <c r="A386" s="108" t="s">
        <v>49</v>
      </c>
      <c r="B386" s="108">
        <v>3320700000</v>
      </c>
      <c r="C386" s="108"/>
      <c r="D386" s="52" t="s">
        <v>476</v>
      </c>
      <c r="E386" s="14">
        <f>E387</f>
        <v>105.3</v>
      </c>
      <c r="F386" s="14">
        <f t="shared" ref="F386:G388" si="144">F387</f>
        <v>0</v>
      </c>
      <c r="G386" s="14">
        <f t="shared" si="144"/>
        <v>0</v>
      </c>
    </row>
    <row r="387" spans="1:7">
      <c r="A387" s="108" t="s">
        <v>49</v>
      </c>
      <c r="B387" s="108">
        <v>3320720040</v>
      </c>
      <c r="C387" s="108"/>
      <c r="D387" s="52" t="s">
        <v>221</v>
      </c>
      <c r="E387" s="14">
        <f>E388</f>
        <v>105.3</v>
      </c>
      <c r="F387" s="14">
        <f t="shared" si="144"/>
        <v>0</v>
      </c>
      <c r="G387" s="14">
        <f t="shared" si="144"/>
        <v>0</v>
      </c>
    </row>
    <row r="388" spans="1:7" ht="31.5">
      <c r="A388" s="108" t="s">
        <v>49</v>
      </c>
      <c r="B388" s="108">
        <v>3320720040</v>
      </c>
      <c r="C388" s="108" t="s">
        <v>69</v>
      </c>
      <c r="D388" s="107" t="s">
        <v>95</v>
      </c>
      <c r="E388" s="14">
        <f>E389</f>
        <v>105.3</v>
      </c>
      <c r="F388" s="14">
        <f t="shared" si="144"/>
        <v>0</v>
      </c>
      <c r="G388" s="14">
        <f t="shared" si="144"/>
        <v>0</v>
      </c>
    </row>
    <row r="389" spans="1:7" ht="31.5">
      <c r="A389" s="108" t="s">
        <v>49</v>
      </c>
      <c r="B389" s="108">
        <v>3320720040</v>
      </c>
      <c r="C389" s="108">
        <v>240</v>
      </c>
      <c r="D389" s="107" t="s">
        <v>216</v>
      </c>
      <c r="E389" s="14">
        <f>'№ 4 ведом'!F311</f>
        <v>105.3</v>
      </c>
      <c r="F389" s="14">
        <f>'№ 4 ведом'!G311</f>
        <v>0</v>
      </c>
      <c r="G389" s="14">
        <f>'№ 4 ведом'!H311</f>
        <v>0</v>
      </c>
    </row>
    <row r="390" spans="1:7" ht="31.5">
      <c r="A390" s="108" t="s">
        <v>49</v>
      </c>
      <c r="B390" s="108">
        <v>3330000000</v>
      </c>
      <c r="C390" s="108"/>
      <c r="D390" s="107" t="s">
        <v>263</v>
      </c>
      <c r="E390" s="14">
        <f>E391</f>
        <v>4084.1000000000004</v>
      </c>
      <c r="F390" s="14">
        <f t="shared" ref="F390:G390" si="145">F391</f>
        <v>953.1</v>
      </c>
      <c r="G390" s="14">
        <f t="shared" si="145"/>
        <v>232.5</v>
      </c>
    </row>
    <row r="391" spans="1:7" ht="47.25">
      <c r="A391" s="108" t="s">
        <v>49</v>
      </c>
      <c r="B391" s="108">
        <v>3330100000</v>
      </c>
      <c r="C391" s="108"/>
      <c r="D391" s="107" t="s">
        <v>208</v>
      </c>
      <c r="E391" s="14">
        <f>E392+E395</f>
        <v>4084.1000000000004</v>
      </c>
      <c r="F391" s="14">
        <f t="shared" ref="F391:G391" si="146">F392+F395</f>
        <v>953.1</v>
      </c>
      <c r="G391" s="14">
        <f t="shared" si="146"/>
        <v>232.5</v>
      </c>
    </row>
    <row r="392" spans="1:7" ht="21.75" customHeight="1">
      <c r="A392" s="108" t="s">
        <v>49</v>
      </c>
      <c r="B392" s="108">
        <v>3330120090</v>
      </c>
      <c r="C392" s="108"/>
      <c r="D392" s="107" t="s">
        <v>261</v>
      </c>
      <c r="E392" s="14">
        <f>E393</f>
        <v>1426.2</v>
      </c>
      <c r="F392" s="14">
        <f t="shared" ref="F392:G393" si="147">F393</f>
        <v>455.5</v>
      </c>
      <c r="G392" s="14">
        <f t="shared" si="147"/>
        <v>0</v>
      </c>
    </row>
    <row r="393" spans="1:7" ht="31.5">
      <c r="A393" s="108" t="s">
        <v>49</v>
      </c>
      <c r="B393" s="108">
        <v>3330120090</v>
      </c>
      <c r="C393" s="108" t="s">
        <v>69</v>
      </c>
      <c r="D393" s="107" t="s">
        <v>95</v>
      </c>
      <c r="E393" s="14">
        <f>E394</f>
        <v>1426.2</v>
      </c>
      <c r="F393" s="14">
        <f t="shared" si="147"/>
        <v>455.5</v>
      </c>
      <c r="G393" s="14">
        <f t="shared" si="147"/>
        <v>0</v>
      </c>
    </row>
    <row r="394" spans="1:7" ht="31.5">
      <c r="A394" s="108" t="s">
        <v>49</v>
      </c>
      <c r="B394" s="108">
        <v>3330120090</v>
      </c>
      <c r="C394" s="108">
        <v>240</v>
      </c>
      <c r="D394" s="107" t="s">
        <v>216</v>
      </c>
      <c r="E394" s="14">
        <f>'№ 4 ведом'!F316</f>
        <v>1426.2</v>
      </c>
      <c r="F394" s="14">
        <f>'№ 4 ведом'!G316</f>
        <v>455.5</v>
      </c>
      <c r="G394" s="14">
        <f>'№ 4 ведом'!H316</f>
        <v>0</v>
      </c>
    </row>
    <row r="395" spans="1:7">
      <c r="A395" s="108" t="s">
        <v>49</v>
      </c>
      <c r="B395" s="108">
        <v>3330120100</v>
      </c>
      <c r="C395" s="50"/>
      <c r="D395" s="22" t="s">
        <v>262</v>
      </c>
      <c r="E395" s="14">
        <f>E396</f>
        <v>2657.9</v>
      </c>
      <c r="F395" s="14">
        <f t="shared" ref="F395:G396" si="148">F396</f>
        <v>497.6</v>
      </c>
      <c r="G395" s="14">
        <f t="shared" si="148"/>
        <v>232.5</v>
      </c>
    </row>
    <row r="396" spans="1:7" ht="31.5">
      <c r="A396" s="108" t="s">
        <v>49</v>
      </c>
      <c r="B396" s="108">
        <v>3330120100</v>
      </c>
      <c r="C396" s="108" t="s">
        <v>69</v>
      </c>
      <c r="D396" s="107" t="s">
        <v>95</v>
      </c>
      <c r="E396" s="14">
        <f>E397</f>
        <v>2657.9</v>
      </c>
      <c r="F396" s="14">
        <f t="shared" si="148"/>
        <v>497.6</v>
      </c>
      <c r="G396" s="14">
        <f t="shared" si="148"/>
        <v>232.5</v>
      </c>
    </row>
    <row r="397" spans="1:7" ht="31.5">
      <c r="A397" s="108" t="s">
        <v>49</v>
      </c>
      <c r="B397" s="108">
        <v>3330120100</v>
      </c>
      <c r="C397" s="108">
        <v>240</v>
      </c>
      <c r="D397" s="107" t="s">
        <v>216</v>
      </c>
      <c r="E397" s="14">
        <f>'№ 4 ведом'!F319</f>
        <v>2657.9</v>
      </c>
      <c r="F397" s="14">
        <f>'№ 4 ведом'!G319</f>
        <v>497.6</v>
      </c>
      <c r="G397" s="14">
        <f>'№ 4 ведом'!H319</f>
        <v>232.5</v>
      </c>
    </row>
    <row r="398" spans="1:7">
      <c r="A398" s="58" t="s">
        <v>296</v>
      </c>
      <c r="B398" s="108"/>
      <c r="C398" s="108"/>
      <c r="D398" s="107" t="s">
        <v>297</v>
      </c>
      <c r="E398" s="14">
        <f>E399+E413</f>
        <v>18622.599999999999</v>
      </c>
      <c r="F398" s="14">
        <f>F399+F413</f>
        <v>10737</v>
      </c>
      <c r="G398" s="14">
        <f>G399+G413</f>
        <v>10737</v>
      </c>
    </row>
    <row r="399" spans="1:7" ht="47.25">
      <c r="A399" s="58" t="s">
        <v>296</v>
      </c>
      <c r="B399" s="108">
        <v>3300000000</v>
      </c>
      <c r="C399" s="108"/>
      <c r="D399" s="107" t="s">
        <v>341</v>
      </c>
      <c r="E399" s="14">
        <f>E400</f>
        <v>17476</v>
      </c>
      <c r="F399" s="14">
        <f t="shared" ref="F399:G399" si="149">F400</f>
        <v>7734.2</v>
      </c>
      <c r="G399" s="14">
        <f t="shared" si="149"/>
        <v>7734.2</v>
      </c>
    </row>
    <row r="400" spans="1:7">
      <c r="A400" s="58" t="s">
        <v>296</v>
      </c>
      <c r="B400" s="108">
        <v>3320000000</v>
      </c>
      <c r="C400" s="108"/>
      <c r="D400" s="107" t="s">
        <v>176</v>
      </c>
      <c r="E400" s="14">
        <f>E401+E409+E405</f>
        <v>17476</v>
      </c>
      <c r="F400" s="14">
        <f t="shared" ref="F400:G400" si="150">F401+F409+F405</f>
        <v>7734.2</v>
      </c>
      <c r="G400" s="14">
        <f t="shared" si="150"/>
        <v>7734.2</v>
      </c>
    </row>
    <row r="401" spans="1:7" ht="47.25">
      <c r="A401" s="58" t="s">
        <v>296</v>
      </c>
      <c r="B401" s="108">
        <v>3320400000</v>
      </c>
      <c r="C401" s="108"/>
      <c r="D401" s="107" t="s">
        <v>313</v>
      </c>
      <c r="E401" s="14">
        <f>E402</f>
        <v>11698.2</v>
      </c>
      <c r="F401" s="14">
        <f t="shared" ref="F401:G403" si="151">F402</f>
        <v>7734.2</v>
      </c>
      <c r="G401" s="14">
        <f t="shared" si="151"/>
        <v>7734.2</v>
      </c>
    </row>
    <row r="402" spans="1:7" ht="31.5">
      <c r="A402" s="58" t="s">
        <v>296</v>
      </c>
      <c r="B402" s="108">
        <v>3320420010</v>
      </c>
      <c r="C402" s="108"/>
      <c r="D402" s="22" t="s">
        <v>123</v>
      </c>
      <c r="E402" s="14">
        <f>E403</f>
        <v>11698.2</v>
      </c>
      <c r="F402" s="14">
        <f t="shared" si="151"/>
        <v>7734.2</v>
      </c>
      <c r="G402" s="14">
        <f t="shared" si="151"/>
        <v>7734.2</v>
      </c>
    </row>
    <row r="403" spans="1:7" ht="31.5">
      <c r="A403" s="58" t="s">
        <v>296</v>
      </c>
      <c r="B403" s="108">
        <v>3320420010</v>
      </c>
      <c r="C403" s="108" t="s">
        <v>97</v>
      </c>
      <c r="D403" s="107" t="s">
        <v>98</v>
      </c>
      <c r="E403" s="14">
        <f>E404</f>
        <v>11698.2</v>
      </c>
      <c r="F403" s="14">
        <f t="shared" si="151"/>
        <v>7734.2</v>
      </c>
      <c r="G403" s="14">
        <f t="shared" si="151"/>
        <v>7734.2</v>
      </c>
    </row>
    <row r="404" spans="1:7">
      <c r="A404" s="58" t="s">
        <v>296</v>
      </c>
      <c r="B404" s="108">
        <v>3320420010</v>
      </c>
      <c r="C404" s="108">
        <v>610</v>
      </c>
      <c r="D404" s="107" t="s">
        <v>104</v>
      </c>
      <c r="E404" s="14">
        <f>'№ 4 ведом'!F326</f>
        <v>11698.2</v>
      </c>
      <c r="F404" s="14">
        <f>'№ 4 ведом'!G326</f>
        <v>7734.2</v>
      </c>
      <c r="G404" s="14">
        <f>'№ 4 ведом'!H326</f>
        <v>7734.2</v>
      </c>
    </row>
    <row r="405" spans="1:7" ht="63">
      <c r="A405" s="58" t="s">
        <v>296</v>
      </c>
      <c r="B405" s="108">
        <v>3320500000</v>
      </c>
      <c r="C405" s="108"/>
      <c r="D405" s="107" t="s">
        <v>482</v>
      </c>
      <c r="E405" s="14">
        <f>E406</f>
        <v>5678.8</v>
      </c>
      <c r="F405" s="14">
        <f t="shared" ref="F405:G407" si="152">F406</f>
        <v>0</v>
      </c>
      <c r="G405" s="14">
        <f t="shared" si="152"/>
        <v>0</v>
      </c>
    </row>
    <row r="406" spans="1:7" ht="31.5">
      <c r="A406" s="58" t="s">
        <v>296</v>
      </c>
      <c r="B406" s="108">
        <v>3320520020</v>
      </c>
      <c r="C406" s="108"/>
      <c r="D406" s="33" t="s">
        <v>319</v>
      </c>
      <c r="E406" s="14">
        <f>E407</f>
        <v>5678.8</v>
      </c>
      <c r="F406" s="14">
        <f t="shared" si="152"/>
        <v>0</v>
      </c>
      <c r="G406" s="14">
        <f t="shared" si="152"/>
        <v>0</v>
      </c>
    </row>
    <row r="407" spans="1:7" ht="31.5">
      <c r="A407" s="58" t="s">
        <v>296</v>
      </c>
      <c r="B407" s="108">
        <v>3320520020</v>
      </c>
      <c r="C407" s="108" t="s">
        <v>97</v>
      </c>
      <c r="D407" s="107" t="s">
        <v>98</v>
      </c>
      <c r="E407" s="14">
        <f>E408</f>
        <v>5678.8</v>
      </c>
      <c r="F407" s="14">
        <f t="shared" si="152"/>
        <v>0</v>
      </c>
      <c r="G407" s="14">
        <f t="shared" si="152"/>
        <v>0</v>
      </c>
    </row>
    <row r="408" spans="1:7">
      <c r="A408" s="58" t="s">
        <v>296</v>
      </c>
      <c r="B408" s="108">
        <v>3320520020</v>
      </c>
      <c r="C408" s="108">
        <v>610</v>
      </c>
      <c r="D408" s="107" t="s">
        <v>104</v>
      </c>
      <c r="E408" s="14">
        <f>'№ 4 ведом'!F330</f>
        <v>5678.8</v>
      </c>
      <c r="F408" s="14">
        <f>'№ 4 ведом'!G330</f>
        <v>0</v>
      </c>
      <c r="G408" s="14">
        <f>'№ 4 ведом'!H330</f>
        <v>0</v>
      </c>
    </row>
    <row r="409" spans="1:7" ht="47.25">
      <c r="A409" s="58" t="s">
        <v>296</v>
      </c>
      <c r="B409" s="108">
        <v>3320600000</v>
      </c>
      <c r="C409" s="108"/>
      <c r="D409" s="107" t="s">
        <v>393</v>
      </c>
      <c r="E409" s="14">
        <f>E410</f>
        <v>99</v>
      </c>
      <c r="F409" s="14">
        <f t="shared" ref="F409:G411" si="153">F410</f>
        <v>0</v>
      </c>
      <c r="G409" s="14">
        <f t="shared" si="153"/>
        <v>0</v>
      </c>
    </row>
    <row r="410" spans="1:7" ht="31.5">
      <c r="A410" s="58" t="s">
        <v>296</v>
      </c>
      <c r="B410" s="108">
        <v>3320620030</v>
      </c>
      <c r="C410" s="108"/>
      <c r="D410" s="107" t="s">
        <v>282</v>
      </c>
      <c r="E410" s="14">
        <f>E411</f>
        <v>99</v>
      </c>
      <c r="F410" s="14">
        <f t="shared" si="153"/>
        <v>0</v>
      </c>
      <c r="G410" s="14">
        <f t="shared" si="153"/>
        <v>0</v>
      </c>
    </row>
    <row r="411" spans="1:7" ht="31.5">
      <c r="A411" s="58" t="s">
        <v>296</v>
      </c>
      <c r="B411" s="108">
        <v>3320620030</v>
      </c>
      <c r="C411" s="108">
        <v>600</v>
      </c>
      <c r="D411" s="107" t="s">
        <v>83</v>
      </c>
      <c r="E411" s="14">
        <f>E412</f>
        <v>99</v>
      </c>
      <c r="F411" s="14">
        <f t="shared" si="153"/>
        <v>0</v>
      </c>
      <c r="G411" s="14">
        <f t="shared" si="153"/>
        <v>0</v>
      </c>
    </row>
    <row r="412" spans="1:7">
      <c r="A412" s="58" t="s">
        <v>296</v>
      </c>
      <c r="B412" s="108">
        <v>3320620030</v>
      </c>
      <c r="C412" s="108">
        <v>610</v>
      </c>
      <c r="D412" s="107" t="s">
        <v>104</v>
      </c>
      <c r="E412" s="14">
        <f>'№ 4 ведом'!F334</f>
        <v>99</v>
      </c>
      <c r="F412" s="14">
        <f>'№ 4 ведом'!G334</f>
        <v>0</v>
      </c>
      <c r="G412" s="14">
        <f>'№ 4 ведом'!H334</f>
        <v>0</v>
      </c>
    </row>
    <row r="413" spans="1:7" ht="31.5">
      <c r="A413" s="58" t="s">
        <v>296</v>
      </c>
      <c r="B413" s="108">
        <v>3500000000</v>
      </c>
      <c r="C413" s="108"/>
      <c r="D413" s="107" t="s">
        <v>330</v>
      </c>
      <c r="E413" s="14">
        <f>E414</f>
        <v>1146.5999999999999</v>
      </c>
      <c r="F413" s="14">
        <f t="shared" ref="F413:G413" si="154">F414</f>
        <v>3002.7999999999997</v>
      </c>
      <c r="G413" s="14">
        <f t="shared" si="154"/>
        <v>3002.7999999999997</v>
      </c>
    </row>
    <row r="414" spans="1:7" ht="31.5">
      <c r="A414" s="58" t="s">
        <v>296</v>
      </c>
      <c r="B414" s="108">
        <v>3520000000</v>
      </c>
      <c r="C414" s="108"/>
      <c r="D414" s="107" t="s">
        <v>228</v>
      </c>
      <c r="E414" s="14">
        <f>E415+E419+E423</f>
        <v>1146.5999999999999</v>
      </c>
      <c r="F414" s="14">
        <f t="shared" ref="F414:G414" si="155">F415+F419+F423</f>
        <v>3002.7999999999997</v>
      </c>
      <c r="G414" s="14">
        <f t="shared" si="155"/>
        <v>3002.7999999999997</v>
      </c>
    </row>
    <row r="415" spans="1:7" ht="31.5">
      <c r="A415" s="58" t="s">
        <v>296</v>
      </c>
      <c r="B415" s="108">
        <v>3520300000</v>
      </c>
      <c r="C415" s="108"/>
      <c r="D415" s="30" t="s">
        <v>264</v>
      </c>
      <c r="E415" s="14">
        <f>E416</f>
        <v>34.9</v>
      </c>
      <c r="F415" s="14">
        <f t="shared" ref="F415:G417" si="156">F416</f>
        <v>34.9</v>
      </c>
      <c r="G415" s="14">
        <f t="shared" si="156"/>
        <v>34.9</v>
      </c>
    </row>
    <row r="416" spans="1:7">
      <c r="A416" s="58" t="s">
        <v>296</v>
      </c>
      <c r="B416" s="108">
        <v>3520320300</v>
      </c>
      <c r="C416" s="108"/>
      <c r="D416" s="30" t="s">
        <v>265</v>
      </c>
      <c r="E416" s="14">
        <f>E417</f>
        <v>34.9</v>
      </c>
      <c r="F416" s="14">
        <f t="shared" si="156"/>
        <v>34.9</v>
      </c>
      <c r="G416" s="14">
        <f t="shared" si="156"/>
        <v>34.9</v>
      </c>
    </row>
    <row r="417" spans="1:7" ht="31.5">
      <c r="A417" s="58" t="s">
        <v>296</v>
      </c>
      <c r="B417" s="108">
        <v>3520320300</v>
      </c>
      <c r="C417" s="108" t="s">
        <v>97</v>
      </c>
      <c r="D417" s="30" t="s">
        <v>98</v>
      </c>
      <c r="E417" s="14">
        <f>E418</f>
        <v>34.9</v>
      </c>
      <c r="F417" s="14">
        <f t="shared" si="156"/>
        <v>34.9</v>
      </c>
      <c r="G417" s="14">
        <f t="shared" si="156"/>
        <v>34.9</v>
      </c>
    </row>
    <row r="418" spans="1:7">
      <c r="A418" s="58" t="s">
        <v>296</v>
      </c>
      <c r="B418" s="108">
        <v>3520320300</v>
      </c>
      <c r="C418" s="108">
        <v>610</v>
      </c>
      <c r="D418" s="30" t="s">
        <v>104</v>
      </c>
      <c r="E418" s="14">
        <f>'№ 4 ведом'!F340</f>
        <v>34.9</v>
      </c>
      <c r="F418" s="14">
        <f>'№ 4 ведом'!G340</f>
        <v>34.9</v>
      </c>
      <c r="G418" s="14">
        <f>'№ 4 ведом'!H340</f>
        <v>34.9</v>
      </c>
    </row>
    <row r="419" spans="1:7" ht="31.5">
      <c r="A419" s="58" t="s">
        <v>296</v>
      </c>
      <c r="B419" s="108">
        <v>3520400000</v>
      </c>
      <c r="C419" s="108"/>
      <c r="D419" s="107" t="s">
        <v>270</v>
      </c>
      <c r="E419" s="14">
        <f>E420</f>
        <v>376.5</v>
      </c>
      <c r="F419" s="14">
        <f t="shared" ref="F419:G421" si="157">F420</f>
        <v>341.7</v>
      </c>
      <c r="G419" s="14">
        <f t="shared" si="157"/>
        <v>341.7</v>
      </c>
    </row>
    <row r="420" spans="1:7">
      <c r="A420" s="58" t="s">
        <v>296</v>
      </c>
      <c r="B420" s="108">
        <v>3520420300</v>
      </c>
      <c r="C420" s="108"/>
      <c r="D420" s="107" t="s">
        <v>271</v>
      </c>
      <c r="E420" s="14">
        <f>E421</f>
        <v>376.5</v>
      </c>
      <c r="F420" s="14">
        <f t="shared" si="157"/>
        <v>341.7</v>
      </c>
      <c r="G420" s="14">
        <f t="shared" si="157"/>
        <v>341.7</v>
      </c>
    </row>
    <row r="421" spans="1:7" ht="31.5">
      <c r="A421" s="58" t="s">
        <v>296</v>
      </c>
      <c r="B421" s="108">
        <v>3520420300</v>
      </c>
      <c r="C421" s="108" t="s">
        <v>97</v>
      </c>
      <c r="D421" s="30" t="s">
        <v>98</v>
      </c>
      <c r="E421" s="14">
        <f>E422</f>
        <v>376.5</v>
      </c>
      <c r="F421" s="14">
        <f t="shared" si="157"/>
        <v>341.7</v>
      </c>
      <c r="G421" s="14">
        <f t="shared" si="157"/>
        <v>341.7</v>
      </c>
    </row>
    <row r="422" spans="1:7">
      <c r="A422" s="58" t="s">
        <v>296</v>
      </c>
      <c r="B422" s="108">
        <v>3520420300</v>
      </c>
      <c r="C422" s="108">
        <v>610</v>
      </c>
      <c r="D422" s="30" t="s">
        <v>104</v>
      </c>
      <c r="E422" s="14">
        <f>'№ 4 ведом'!F344</f>
        <v>376.5</v>
      </c>
      <c r="F422" s="14">
        <f>'№ 4 ведом'!G344</f>
        <v>341.7</v>
      </c>
      <c r="G422" s="14">
        <f>'№ 4 ведом'!H344</f>
        <v>341.7</v>
      </c>
    </row>
    <row r="423" spans="1:7" ht="31.5">
      <c r="A423" s="58" t="s">
        <v>296</v>
      </c>
      <c r="B423" s="108">
        <v>3520500000</v>
      </c>
      <c r="C423" s="108"/>
      <c r="D423" s="107" t="s">
        <v>269</v>
      </c>
      <c r="E423" s="14">
        <f>E424</f>
        <v>735.19999999999982</v>
      </c>
      <c r="F423" s="14">
        <f t="shared" ref="F423:G425" si="158">F424</f>
        <v>2626.2</v>
      </c>
      <c r="G423" s="14">
        <f t="shared" si="158"/>
        <v>2626.2</v>
      </c>
    </row>
    <row r="424" spans="1:7">
      <c r="A424" s="58" t="s">
        <v>296</v>
      </c>
      <c r="B424" s="108">
        <v>3520520200</v>
      </c>
      <c r="C424" s="108"/>
      <c r="D424" s="107" t="s">
        <v>252</v>
      </c>
      <c r="E424" s="14">
        <f>E425</f>
        <v>735.19999999999982</v>
      </c>
      <c r="F424" s="14">
        <f t="shared" si="158"/>
        <v>2626.2</v>
      </c>
      <c r="G424" s="14">
        <f t="shared" si="158"/>
        <v>2626.2</v>
      </c>
    </row>
    <row r="425" spans="1:7" ht="31.5">
      <c r="A425" s="58" t="s">
        <v>296</v>
      </c>
      <c r="B425" s="108">
        <v>3520520200</v>
      </c>
      <c r="C425" s="108" t="s">
        <v>97</v>
      </c>
      <c r="D425" s="30" t="s">
        <v>98</v>
      </c>
      <c r="E425" s="14">
        <f>E426</f>
        <v>735.19999999999982</v>
      </c>
      <c r="F425" s="14">
        <f t="shared" si="158"/>
        <v>2626.2</v>
      </c>
      <c r="G425" s="14">
        <f t="shared" si="158"/>
        <v>2626.2</v>
      </c>
    </row>
    <row r="426" spans="1:7">
      <c r="A426" s="58" t="s">
        <v>296</v>
      </c>
      <c r="B426" s="108">
        <v>3520520200</v>
      </c>
      <c r="C426" s="108">
        <v>610</v>
      </c>
      <c r="D426" s="30" t="s">
        <v>104</v>
      </c>
      <c r="E426" s="14">
        <f>'№ 4 ведом'!F348</f>
        <v>735.19999999999982</v>
      </c>
      <c r="F426" s="14">
        <f>'№ 4 ведом'!G348</f>
        <v>2626.2</v>
      </c>
      <c r="G426" s="14">
        <f>'№ 4 ведом'!H348</f>
        <v>2626.2</v>
      </c>
    </row>
    <row r="427" spans="1:7">
      <c r="A427" s="123" t="s">
        <v>37</v>
      </c>
      <c r="B427" s="123" t="s">
        <v>66</v>
      </c>
      <c r="C427" s="124" t="s">
        <v>66</v>
      </c>
      <c r="D427" s="125" t="s">
        <v>29</v>
      </c>
      <c r="E427" s="17">
        <f>E428+E495+E597+E634+E641+E666</f>
        <v>1160765.4000000001</v>
      </c>
      <c r="F427" s="17">
        <f>F428+F495+F597+F634+F641+F666</f>
        <v>1014380.9999999999</v>
      </c>
      <c r="G427" s="17">
        <f>G428+G495+G597+G634+G641+G666</f>
        <v>937004.00000000012</v>
      </c>
    </row>
    <row r="428" spans="1:7">
      <c r="A428" s="108" t="s">
        <v>50</v>
      </c>
      <c r="B428" s="108" t="s">
        <v>66</v>
      </c>
      <c r="C428" s="108" t="s">
        <v>66</v>
      </c>
      <c r="D428" s="107" t="s">
        <v>10</v>
      </c>
      <c r="E428" s="14">
        <f>E429+E468</f>
        <v>487551.2</v>
      </c>
      <c r="F428" s="14">
        <f>F429+F468</f>
        <v>358591.1</v>
      </c>
      <c r="G428" s="14">
        <f>G429+G468</f>
        <v>361303.70000000007</v>
      </c>
    </row>
    <row r="429" spans="1:7" ht="47.25">
      <c r="A429" s="108" t="s">
        <v>50</v>
      </c>
      <c r="B429" s="108">
        <v>3100000000</v>
      </c>
      <c r="C429" s="108"/>
      <c r="D429" s="107" t="s">
        <v>328</v>
      </c>
      <c r="E429" s="14">
        <f>E430</f>
        <v>472732.5</v>
      </c>
      <c r="F429" s="14">
        <f t="shared" ref="F429:G429" si="159">F430</f>
        <v>356287.19999999995</v>
      </c>
      <c r="G429" s="14">
        <f t="shared" si="159"/>
        <v>358999.80000000005</v>
      </c>
    </row>
    <row r="430" spans="1:7">
      <c r="A430" s="108" t="s">
        <v>50</v>
      </c>
      <c r="B430" s="108">
        <v>3110000000</v>
      </c>
      <c r="C430" s="108"/>
      <c r="D430" s="107" t="s">
        <v>163</v>
      </c>
      <c r="E430" s="14">
        <f>E431+E454+E441+E461</f>
        <v>472732.5</v>
      </c>
      <c r="F430" s="14">
        <f>F431+F454+F441</f>
        <v>356287.19999999995</v>
      </c>
      <c r="G430" s="14">
        <f>G431+G454+G441</f>
        <v>358999.80000000005</v>
      </c>
    </row>
    <row r="431" spans="1:7" ht="47.25">
      <c r="A431" s="108" t="s">
        <v>50</v>
      </c>
      <c r="B431" s="108">
        <v>3110100000</v>
      </c>
      <c r="C431" s="30"/>
      <c r="D431" s="107" t="s">
        <v>164</v>
      </c>
      <c r="E431" s="14">
        <f>E432+E435+E438</f>
        <v>357049.3</v>
      </c>
      <c r="F431" s="14">
        <f t="shared" ref="F431:G431" si="160">F432+F435+F438</f>
        <v>356287.19999999995</v>
      </c>
      <c r="G431" s="14">
        <f t="shared" si="160"/>
        <v>358999.80000000005</v>
      </c>
    </row>
    <row r="432" spans="1:7" ht="63">
      <c r="A432" s="1" t="s">
        <v>50</v>
      </c>
      <c r="B432" s="7" t="s">
        <v>356</v>
      </c>
      <c r="C432" s="8"/>
      <c r="D432" s="22" t="s">
        <v>103</v>
      </c>
      <c r="E432" s="14">
        <f>E433</f>
        <v>213384.5</v>
      </c>
      <c r="F432" s="14">
        <f t="shared" ref="F432:G433" si="161">F433</f>
        <v>213751.4</v>
      </c>
      <c r="G432" s="14">
        <f t="shared" si="161"/>
        <v>214533.7</v>
      </c>
    </row>
    <row r="433" spans="1:7" ht="31.5">
      <c r="A433" s="1" t="s">
        <v>50</v>
      </c>
      <c r="B433" s="7" t="s">
        <v>356</v>
      </c>
      <c r="C433" s="108" t="s">
        <v>97</v>
      </c>
      <c r="D433" s="107" t="s">
        <v>98</v>
      </c>
      <c r="E433" s="14">
        <f>E434</f>
        <v>213384.5</v>
      </c>
      <c r="F433" s="14">
        <f t="shared" si="161"/>
        <v>213751.4</v>
      </c>
      <c r="G433" s="14">
        <f t="shared" si="161"/>
        <v>214533.7</v>
      </c>
    </row>
    <row r="434" spans="1:7">
      <c r="A434" s="1" t="s">
        <v>50</v>
      </c>
      <c r="B434" s="7" t="s">
        <v>356</v>
      </c>
      <c r="C434" s="108">
        <v>610</v>
      </c>
      <c r="D434" s="107" t="s">
        <v>104</v>
      </c>
      <c r="E434" s="14">
        <f>'№ 4 ведом'!F793</f>
        <v>213384.5</v>
      </c>
      <c r="F434" s="14">
        <f>'№ 4 ведом'!G793</f>
        <v>213751.4</v>
      </c>
      <c r="G434" s="14">
        <f>'№ 4 ведом'!H793</f>
        <v>214533.7</v>
      </c>
    </row>
    <row r="435" spans="1:7" ht="31.5">
      <c r="A435" s="1" t="s">
        <v>50</v>
      </c>
      <c r="B435" s="7" t="s">
        <v>357</v>
      </c>
      <c r="C435" s="7"/>
      <c r="D435" s="22" t="s">
        <v>123</v>
      </c>
      <c r="E435" s="14">
        <f>E436</f>
        <v>141787.1</v>
      </c>
      <c r="F435" s="14">
        <f t="shared" ref="F435:G436" si="162">F436</f>
        <v>142535.79999999999</v>
      </c>
      <c r="G435" s="14">
        <f t="shared" si="162"/>
        <v>144466.1</v>
      </c>
    </row>
    <row r="436" spans="1:7" ht="31.5">
      <c r="A436" s="1" t="s">
        <v>50</v>
      </c>
      <c r="B436" s="7" t="s">
        <v>357</v>
      </c>
      <c r="C436" s="108" t="s">
        <v>97</v>
      </c>
      <c r="D436" s="107" t="s">
        <v>98</v>
      </c>
      <c r="E436" s="14">
        <f>E437</f>
        <v>141787.1</v>
      </c>
      <c r="F436" s="14">
        <f t="shared" si="162"/>
        <v>142535.79999999999</v>
      </c>
      <c r="G436" s="14">
        <f t="shared" si="162"/>
        <v>144466.1</v>
      </c>
    </row>
    <row r="437" spans="1:7">
      <c r="A437" s="1" t="s">
        <v>50</v>
      </c>
      <c r="B437" s="7" t="s">
        <v>357</v>
      </c>
      <c r="C437" s="108">
        <v>610</v>
      </c>
      <c r="D437" s="107" t="s">
        <v>104</v>
      </c>
      <c r="E437" s="14">
        <f>'№ 4 ведом'!F796</f>
        <v>141787.1</v>
      </c>
      <c r="F437" s="14">
        <f>'№ 4 ведом'!G796</f>
        <v>142535.79999999999</v>
      </c>
      <c r="G437" s="14">
        <f>'№ 4 ведом'!H796</f>
        <v>144466.1</v>
      </c>
    </row>
    <row r="438" spans="1:7" ht="31.5">
      <c r="A438" s="1" t="s">
        <v>50</v>
      </c>
      <c r="B438" s="7" t="s">
        <v>803</v>
      </c>
      <c r="C438" s="108"/>
      <c r="D438" s="33" t="s">
        <v>801</v>
      </c>
      <c r="E438" s="14">
        <f>E439</f>
        <v>1877.7</v>
      </c>
      <c r="F438" s="14">
        <f t="shared" ref="F438:G439" si="163">F439</f>
        <v>0</v>
      </c>
      <c r="G438" s="14">
        <f t="shared" si="163"/>
        <v>0</v>
      </c>
    </row>
    <row r="439" spans="1:7" ht="31.5">
      <c r="A439" s="1" t="s">
        <v>50</v>
      </c>
      <c r="B439" s="7" t="s">
        <v>803</v>
      </c>
      <c r="C439" s="108" t="s">
        <v>97</v>
      </c>
      <c r="D439" s="107" t="s">
        <v>98</v>
      </c>
      <c r="E439" s="14">
        <f>E440</f>
        <v>1877.7</v>
      </c>
      <c r="F439" s="14">
        <f t="shared" si="163"/>
        <v>0</v>
      </c>
      <c r="G439" s="14">
        <f t="shared" si="163"/>
        <v>0</v>
      </c>
    </row>
    <row r="440" spans="1:7">
      <c r="A440" s="1" t="s">
        <v>50</v>
      </c>
      <c r="B440" s="7" t="s">
        <v>803</v>
      </c>
      <c r="C440" s="108">
        <v>610</v>
      </c>
      <c r="D440" s="107" t="s">
        <v>104</v>
      </c>
      <c r="E440" s="14">
        <f>'№ 4 ведом'!F799</f>
        <v>1877.7</v>
      </c>
      <c r="F440" s="14">
        <f>'№ 4 ведом'!G799</f>
        <v>0</v>
      </c>
      <c r="G440" s="14">
        <f>'№ 4 ведом'!H799</f>
        <v>0</v>
      </c>
    </row>
    <row r="441" spans="1:7" ht="78.75">
      <c r="A441" s="58" t="s">
        <v>50</v>
      </c>
      <c r="B441" s="108">
        <v>3110500000</v>
      </c>
      <c r="C441" s="108"/>
      <c r="D441" s="107" t="s">
        <v>229</v>
      </c>
      <c r="E441" s="14">
        <f>E445+E448+E451+E442</f>
        <v>104838.70000000001</v>
      </c>
      <c r="F441" s="14">
        <f>F445+F448+F451+F442</f>
        <v>0</v>
      </c>
      <c r="G441" s="14">
        <f>G445+G448+G451+G442</f>
        <v>0</v>
      </c>
    </row>
    <row r="442" spans="1:7" ht="31.5">
      <c r="A442" s="1" t="s">
        <v>50</v>
      </c>
      <c r="B442" s="7" t="s">
        <v>371</v>
      </c>
      <c r="C442" s="108"/>
      <c r="D442" s="30" t="s">
        <v>319</v>
      </c>
      <c r="E442" s="14">
        <f>E443</f>
        <v>286.60000000000002</v>
      </c>
      <c r="F442" s="14">
        <f t="shared" ref="F442:G443" si="164">F443</f>
        <v>0</v>
      </c>
      <c r="G442" s="14">
        <f t="shared" si="164"/>
        <v>0</v>
      </c>
    </row>
    <row r="443" spans="1:7" ht="31.5">
      <c r="A443" s="1" t="s">
        <v>50</v>
      </c>
      <c r="B443" s="7" t="s">
        <v>371</v>
      </c>
      <c r="C443" s="108" t="s">
        <v>97</v>
      </c>
      <c r="D443" s="107" t="s">
        <v>98</v>
      </c>
      <c r="E443" s="14">
        <f>E444</f>
        <v>286.60000000000002</v>
      </c>
      <c r="F443" s="14">
        <f t="shared" si="164"/>
        <v>0</v>
      </c>
      <c r="G443" s="14">
        <f t="shared" si="164"/>
        <v>0</v>
      </c>
    </row>
    <row r="444" spans="1:7">
      <c r="A444" s="1" t="s">
        <v>50</v>
      </c>
      <c r="B444" s="7" t="s">
        <v>371</v>
      </c>
      <c r="C444" s="108">
        <v>610</v>
      </c>
      <c r="D444" s="107" t="s">
        <v>104</v>
      </c>
      <c r="E444" s="14">
        <f>'№ 4 ведом'!F803</f>
        <v>286.60000000000002</v>
      </c>
      <c r="F444" s="14">
        <f>'№ 4 ведом'!G803</f>
        <v>0</v>
      </c>
      <c r="G444" s="14">
        <f>'№ 4 ведом'!H803</f>
        <v>0</v>
      </c>
    </row>
    <row r="445" spans="1:7" ht="31.5">
      <c r="A445" s="48" t="s">
        <v>50</v>
      </c>
      <c r="B445" s="108" t="s">
        <v>383</v>
      </c>
      <c r="C445" s="108"/>
      <c r="D445" s="22" t="s">
        <v>394</v>
      </c>
      <c r="E445" s="14">
        <f>E446</f>
        <v>16672.999999999996</v>
      </c>
      <c r="F445" s="14">
        <f t="shared" ref="F445:G446" si="165">F446</f>
        <v>0</v>
      </c>
      <c r="G445" s="14">
        <f t="shared" si="165"/>
        <v>0</v>
      </c>
    </row>
    <row r="446" spans="1:7" ht="31.5">
      <c r="A446" s="48" t="s">
        <v>50</v>
      </c>
      <c r="B446" s="108" t="s">
        <v>383</v>
      </c>
      <c r="C446" s="108" t="s">
        <v>69</v>
      </c>
      <c r="D446" s="107" t="s">
        <v>95</v>
      </c>
      <c r="E446" s="14">
        <f>E447</f>
        <v>16672.999999999996</v>
      </c>
      <c r="F446" s="14">
        <f t="shared" si="165"/>
        <v>0</v>
      </c>
      <c r="G446" s="14">
        <f t="shared" si="165"/>
        <v>0</v>
      </c>
    </row>
    <row r="447" spans="1:7" ht="31.5">
      <c r="A447" s="48" t="s">
        <v>50</v>
      </c>
      <c r="B447" s="108" t="s">
        <v>383</v>
      </c>
      <c r="C447" s="108">
        <v>240</v>
      </c>
      <c r="D447" s="107" t="s">
        <v>216</v>
      </c>
      <c r="E447" s="14">
        <f>'№ 4 ведом'!F356</f>
        <v>16672.999999999996</v>
      </c>
      <c r="F447" s="14">
        <f>'№ 4 ведом'!G356</f>
        <v>0</v>
      </c>
      <c r="G447" s="14">
        <f>'№ 4 ведом'!H356</f>
        <v>0</v>
      </c>
    </row>
    <row r="448" spans="1:7" ht="31.5">
      <c r="A448" s="48" t="s">
        <v>50</v>
      </c>
      <c r="B448" s="108" t="s">
        <v>425</v>
      </c>
      <c r="C448" s="108"/>
      <c r="D448" s="107" t="s">
        <v>426</v>
      </c>
      <c r="E448" s="14">
        <f>E449</f>
        <v>67100</v>
      </c>
      <c r="F448" s="14">
        <f t="shared" ref="F448:G449" si="166">F449</f>
        <v>0</v>
      </c>
      <c r="G448" s="14">
        <f t="shared" si="166"/>
        <v>0</v>
      </c>
    </row>
    <row r="449" spans="1:7" ht="31.5">
      <c r="A449" s="48" t="s">
        <v>50</v>
      </c>
      <c r="B449" s="108" t="s">
        <v>425</v>
      </c>
      <c r="C449" s="108" t="s">
        <v>69</v>
      </c>
      <c r="D449" s="107" t="s">
        <v>95</v>
      </c>
      <c r="E449" s="14">
        <f>E450</f>
        <v>67100</v>
      </c>
      <c r="F449" s="14">
        <f t="shared" si="166"/>
        <v>0</v>
      </c>
      <c r="G449" s="14">
        <f t="shared" si="166"/>
        <v>0</v>
      </c>
    </row>
    <row r="450" spans="1:7" ht="31.5">
      <c r="A450" s="48" t="s">
        <v>50</v>
      </c>
      <c r="B450" s="108" t="s">
        <v>425</v>
      </c>
      <c r="C450" s="108">
        <v>240</v>
      </c>
      <c r="D450" s="107" t="s">
        <v>216</v>
      </c>
      <c r="E450" s="14">
        <f>'№ 4 ведом'!F359</f>
        <v>67100</v>
      </c>
      <c r="F450" s="14">
        <f>'№ 4 ведом'!G359</f>
        <v>0</v>
      </c>
      <c r="G450" s="14">
        <f>'№ 4 ведом'!H359</f>
        <v>0</v>
      </c>
    </row>
    <row r="451" spans="1:7" ht="31.5">
      <c r="A451" s="48" t="s">
        <v>50</v>
      </c>
      <c r="B451" s="108" t="s">
        <v>436</v>
      </c>
      <c r="C451" s="108"/>
      <c r="D451" s="107" t="s">
        <v>437</v>
      </c>
      <c r="E451" s="14">
        <f>E452</f>
        <v>20779.099999999999</v>
      </c>
      <c r="F451" s="14">
        <f t="shared" ref="F451:G452" si="167">F452</f>
        <v>0</v>
      </c>
      <c r="G451" s="14">
        <f t="shared" si="167"/>
        <v>0</v>
      </c>
    </row>
    <row r="452" spans="1:7" ht="31.5">
      <c r="A452" s="48" t="s">
        <v>50</v>
      </c>
      <c r="B452" s="108" t="s">
        <v>436</v>
      </c>
      <c r="C452" s="108" t="s">
        <v>69</v>
      </c>
      <c r="D452" s="107" t="s">
        <v>95</v>
      </c>
      <c r="E452" s="14">
        <f>E453</f>
        <v>20779.099999999999</v>
      </c>
      <c r="F452" s="14">
        <f t="shared" si="167"/>
        <v>0</v>
      </c>
      <c r="G452" s="14">
        <f t="shared" si="167"/>
        <v>0</v>
      </c>
    </row>
    <row r="453" spans="1:7" ht="31.5">
      <c r="A453" s="48" t="s">
        <v>50</v>
      </c>
      <c r="B453" s="108" t="s">
        <v>436</v>
      </c>
      <c r="C453" s="108">
        <v>240</v>
      </c>
      <c r="D453" s="107" t="s">
        <v>216</v>
      </c>
      <c r="E453" s="14">
        <f>'№ 4 ведом'!F362</f>
        <v>20779.099999999999</v>
      </c>
      <c r="F453" s="14">
        <f>'№ 4 ведом'!G362</f>
        <v>0</v>
      </c>
      <c r="G453" s="14">
        <f>'№ 4 ведом'!H362</f>
        <v>0</v>
      </c>
    </row>
    <row r="454" spans="1:7" ht="47.25">
      <c r="A454" s="48" t="s">
        <v>50</v>
      </c>
      <c r="B454" s="108">
        <v>3110800000</v>
      </c>
      <c r="C454" s="108"/>
      <c r="D454" s="107" t="s">
        <v>281</v>
      </c>
      <c r="E454" s="14">
        <f>E455+E458</f>
        <v>2735</v>
      </c>
      <c r="F454" s="14">
        <f t="shared" ref="F454:G454" si="168">F455+F458</f>
        <v>0</v>
      </c>
      <c r="G454" s="14">
        <f t="shared" si="168"/>
        <v>0</v>
      </c>
    </row>
    <row r="455" spans="1:7" ht="31.5">
      <c r="A455" s="48" t="s">
        <v>50</v>
      </c>
      <c r="B455" s="108" t="s">
        <v>372</v>
      </c>
      <c r="C455" s="108"/>
      <c r="D455" s="107" t="s">
        <v>306</v>
      </c>
      <c r="E455" s="14">
        <f>E456</f>
        <v>1500</v>
      </c>
      <c r="F455" s="14">
        <f t="shared" ref="F455:G456" si="169">F456</f>
        <v>0</v>
      </c>
      <c r="G455" s="14">
        <f t="shared" si="169"/>
        <v>0</v>
      </c>
    </row>
    <row r="456" spans="1:7" ht="31.5">
      <c r="A456" s="48" t="s">
        <v>50</v>
      </c>
      <c r="B456" s="108" t="s">
        <v>372</v>
      </c>
      <c r="C456" s="108" t="s">
        <v>97</v>
      </c>
      <c r="D456" s="107" t="s">
        <v>98</v>
      </c>
      <c r="E456" s="14">
        <f>E457</f>
        <v>1500</v>
      </c>
      <c r="F456" s="14">
        <f t="shared" si="169"/>
        <v>0</v>
      </c>
      <c r="G456" s="14">
        <f t="shared" si="169"/>
        <v>0</v>
      </c>
    </row>
    <row r="457" spans="1:7">
      <c r="A457" s="48" t="s">
        <v>50</v>
      </c>
      <c r="B457" s="108" t="s">
        <v>372</v>
      </c>
      <c r="C457" s="108">
        <v>610</v>
      </c>
      <c r="D457" s="107" t="s">
        <v>104</v>
      </c>
      <c r="E457" s="14">
        <f>'№ 4 ведом'!F807</f>
        <v>1500</v>
      </c>
      <c r="F457" s="14">
        <f>'№ 4 ведом'!G807</f>
        <v>0</v>
      </c>
      <c r="G457" s="14">
        <f>'№ 4 ведом'!H807</f>
        <v>0</v>
      </c>
    </row>
    <row r="458" spans="1:7" ht="47.25">
      <c r="A458" s="48" t="s">
        <v>50</v>
      </c>
      <c r="B458" s="108" t="s">
        <v>373</v>
      </c>
      <c r="C458" s="108"/>
      <c r="D458" s="107" t="s">
        <v>406</v>
      </c>
      <c r="E458" s="14">
        <f>E459</f>
        <v>1235</v>
      </c>
      <c r="F458" s="14">
        <f t="shared" ref="F458:G459" si="170">F459</f>
        <v>0</v>
      </c>
      <c r="G458" s="14">
        <f t="shared" si="170"/>
        <v>0</v>
      </c>
    </row>
    <row r="459" spans="1:7" ht="31.5">
      <c r="A459" s="48" t="s">
        <v>50</v>
      </c>
      <c r="B459" s="108" t="s">
        <v>373</v>
      </c>
      <c r="C459" s="108" t="s">
        <v>97</v>
      </c>
      <c r="D459" s="107" t="s">
        <v>98</v>
      </c>
      <c r="E459" s="14">
        <f>E460</f>
        <v>1235</v>
      </c>
      <c r="F459" s="14">
        <f t="shared" si="170"/>
        <v>0</v>
      </c>
      <c r="G459" s="14">
        <f t="shared" si="170"/>
        <v>0</v>
      </c>
    </row>
    <row r="460" spans="1:7">
      <c r="A460" s="48" t="s">
        <v>50</v>
      </c>
      <c r="B460" s="108" t="s">
        <v>373</v>
      </c>
      <c r="C460" s="108">
        <v>610</v>
      </c>
      <c r="D460" s="107" t="s">
        <v>104</v>
      </c>
      <c r="E460" s="14">
        <f>'№ 4 ведом'!F810</f>
        <v>1235</v>
      </c>
      <c r="F460" s="14">
        <f>'№ 4 ведом'!G810</f>
        <v>0</v>
      </c>
      <c r="G460" s="14">
        <f>'№ 4 ведом'!H810</f>
        <v>0</v>
      </c>
    </row>
    <row r="461" spans="1:7" ht="63">
      <c r="A461" s="48" t="s">
        <v>50</v>
      </c>
      <c r="B461" s="108">
        <v>3111000000</v>
      </c>
      <c r="C461" s="108"/>
      <c r="D461" s="107" t="s">
        <v>429</v>
      </c>
      <c r="E461" s="14">
        <f>E465+E462</f>
        <v>8109.5</v>
      </c>
      <c r="F461" s="14">
        <f t="shared" ref="F461:G461" si="171">F465+F462</f>
        <v>0</v>
      </c>
      <c r="G461" s="14">
        <f t="shared" si="171"/>
        <v>0</v>
      </c>
    </row>
    <row r="462" spans="1:7" ht="31.5">
      <c r="A462" s="48" t="s">
        <v>50</v>
      </c>
      <c r="B462" s="108">
        <v>3111020030</v>
      </c>
      <c r="C462" s="108"/>
      <c r="D462" s="107" t="s">
        <v>282</v>
      </c>
      <c r="E462" s="14">
        <f>E463</f>
        <v>3985.5</v>
      </c>
      <c r="F462" s="14">
        <f t="shared" ref="F462:G463" si="172">F463</f>
        <v>0</v>
      </c>
      <c r="G462" s="14">
        <f t="shared" si="172"/>
        <v>0</v>
      </c>
    </row>
    <row r="463" spans="1:7" ht="31.5">
      <c r="A463" s="48" t="s">
        <v>50</v>
      </c>
      <c r="B463" s="108">
        <v>3111020030</v>
      </c>
      <c r="C463" s="108" t="s">
        <v>97</v>
      </c>
      <c r="D463" s="107" t="s">
        <v>98</v>
      </c>
      <c r="E463" s="14">
        <f>E464</f>
        <v>3985.5</v>
      </c>
      <c r="F463" s="14">
        <f t="shared" si="172"/>
        <v>0</v>
      </c>
      <c r="G463" s="14">
        <f t="shared" si="172"/>
        <v>0</v>
      </c>
    </row>
    <row r="464" spans="1:7">
      <c r="A464" s="48" t="s">
        <v>50</v>
      </c>
      <c r="B464" s="108">
        <v>3111020030</v>
      </c>
      <c r="C464" s="108">
        <v>610</v>
      </c>
      <c r="D464" s="107" t="s">
        <v>104</v>
      </c>
      <c r="E464" s="14">
        <f>'№ 4 ведом'!F814</f>
        <v>3985.5</v>
      </c>
      <c r="F464" s="14">
        <f>'№ 4 ведом'!G814</f>
        <v>0</v>
      </c>
      <c r="G464" s="14">
        <f>'№ 4 ведом'!H814</f>
        <v>0</v>
      </c>
    </row>
    <row r="465" spans="1:7" ht="47.25">
      <c r="A465" s="48" t="s">
        <v>50</v>
      </c>
      <c r="B465" s="108" t="s">
        <v>427</v>
      </c>
      <c r="C465" s="108"/>
      <c r="D465" s="107" t="s">
        <v>428</v>
      </c>
      <c r="E465" s="14">
        <f>E466</f>
        <v>4124</v>
      </c>
      <c r="F465" s="14">
        <f t="shared" ref="F465:G466" si="173">F466</f>
        <v>0</v>
      </c>
      <c r="G465" s="14">
        <f t="shared" si="173"/>
        <v>0</v>
      </c>
    </row>
    <row r="466" spans="1:7" ht="31.5">
      <c r="A466" s="48" t="s">
        <v>50</v>
      </c>
      <c r="B466" s="108" t="s">
        <v>427</v>
      </c>
      <c r="C466" s="108" t="s">
        <v>69</v>
      </c>
      <c r="D466" s="107" t="s">
        <v>95</v>
      </c>
      <c r="E466" s="14">
        <f>E467</f>
        <v>4124</v>
      </c>
      <c r="F466" s="14">
        <f t="shared" si="173"/>
        <v>0</v>
      </c>
      <c r="G466" s="14">
        <f t="shared" si="173"/>
        <v>0</v>
      </c>
    </row>
    <row r="467" spans="1:7" ht="31.5">
      <c r="A467" s="48" t="s">
        <v>50</v>
      </c>
      <c r="B467" s="108" t="s">
        <v>427</v>
      </c>
      <c r="C467" s="108">
        <v>240</v>
      </c>
      <c r="D467" s="107" t="s">
        <v>216</v>
      </c>
      <c r="E467" s="14">
        <f>'№ 4 ведом'!F366</f>
        <v>4124</v>
      </c>
      <c r="F467" s="14">
        <f>'№ 4 ведом'!G366</f>
        <v>0</v>
      </c>
      <c r="G467" s="14">
        <f>'№ 4 ведом'!H366</f>
        <v>0</v>
      </c>
    </row>
    <row r="468" spans="1:7" ht="31.5">
      <c r="A468" s="48" t="s">
        <v>50</v>
      </c>
      <c r="B468" s="108">
        <v>3500000000</v>
      </c>
      <c r="C468" s="108"/>
      <c r="D468" s="107" t="s">
        <v>330</v>
      </c>
      <c r="E468" s="14">
        <f>E469</f>
        <v>14818.7</v>
      </c>
      <c r="F468" s="14">
        <f t="shared" ref="F468:G468" si="174">F469</f>
        <v>2303.9</v>
      </c>
      <c r="G468" s="14">
        <f t="shared" si="174"/>
        <v>2303.9</v>
      </c>
    </row>
    <row r="469" spans="1:7" ht="31.5">
      <c r="A469" s="48" t="s">
        <v>50</v>
      </c>
      <c r="B469" s="108">
        <v>3520000000</v>
      </c>
      <c r="C469" s="108"/>
      <c r="D469" s="107" t="s">
        <v>228</v>
      </c>
      <c r="E469" s="14">
        <f>E474+E483+E487+E491+E470</f>
        <v>14818.7</v>
      </c>
      <c r="F469" s="14">
        <f>F474+F483+F487+F491+F470</f>
        <v>2303.9</v>
      </c>
      <c r="G469" s="14">
        <f>G474+G483+G487+G491+G470</f>
        <v>2303.9</v>
      </c>
    </row>
    <row r="470" spans="1:7" ht="63">
      <c r="A470" s="48" t="s">
        <v>50</v>
      </c>
      <c r="B470" s="108">
        <v>3520100000</v>
      </c>
      <c r="C470" s="108"/>
      <c r="D470" s="30" t="s">
        <v>274</v>
      </c>
      <c r="E470" s="14">
        <f>E471</f>
        <v>2379.5</v>
      </c>
      <c r="F470" s="14">
        <f t="shared" ref="F470:G472" si="175">F471</f>
        <v>0</v>
      </c>
      <c r="G470" s="14">
        <f t="shared" si="175"/>
        <v>0</v>
      </c>
    </row>
    <row r="471" spans="1:7" ht="31.5">
      <c r="A471" s="48" t="s">
        <v>50</v>
      </c>
      <c r="B471" s="7" t="s">
        <v>385</v>
      </c>
      <c r="C471" s="108"/>
      <c r="D471" s="22" t="s">
        <v>394</v>
      </c>
      <c r="E471" s="14">
        <f>E472</f>
        <v>2379.5</v>
      </c>
      <c r="F471" s="14">
        <f t="shared" si="175"/>
        <v>0</v>
      </c>
      <c r="G471" s="14">
        <f t="shared" si="175"/>
        <v>0</v>
      </c>
    </row>
    <row r="472" spans="1:7" ht="31.5">
      <c r="A472" s="48" t="s">
        <v>50</v>
      </c>
      <c r="B472" s="7" t="s">
        <v>385</v>
      </c>
      <c r="C472" s="108" t="s">
        <v>69</v>
      </c>
      <c r="D472" s="107" t="s">
        <v>95</v>
      </c>
      <c r="E472" s="14">
        <f>E473</f>
        <v>2379.5</v>
      </c>
      <c r="F472" s="14">
        <f t="shared" si="175"/>
        <v>0</v>
      </c>
      <c r="G472" s="14">
        <f t="shared" si="175"/>
        <v>0</v>
      </c>
    </row>
    <row r="473" spans="1:7" ht="31.5">
      <c r="A473" s="48" t="s">
        <v>50</v>
      </c>
      <c r="B473" s="7" t="s">
        <v>385</v>
      </c>
      <c r="C473" s="108">
        <v>240</v>
      </c>
      <c r="D473" s="107" t="s">
        <v>216</v>
      </c>
      <c r="E473" s="14">
        <f>'№ 4 ведом'!F372</f>
        <v>2379.5</v>
      </c>
      <c r="F473" s="14">
        <f>'№ 4 ведом'!G372</f>
        <v>0</v>
      </c>
      <c r="G473" s="14">
        <f>'№ 4 ведом'!H372</f>
        <v>0</v>
      </c>
    </row>
    <row r="474" spans="1:7" ht="47.25">
      <c r="A474" s="48" t="s">
        <v>50</v>
      </c>
      <c r="B474" s="108">
        <v>3520200000</v>
      </c>
      <c r="C474" s="108"/>
      <c r="D474" s="107" t="s">
        <v>260</v>
      </c>
      <c r="E474" s="14">
        <f>E475+E480</f>
        <v>9800.5000000000018</v>
      </c>
      <c r="F474" s="14">
        <f t="shared" ref="F474:G474" si="176">F475+F480</f>
        <v>0</v>
      </c>
      <c r="G474" s="14">
        <f t="shared" si="176"/>
        <v>0</v>
      </c>
    </row>
    <row r="475" spans="1:7">
      <c r="A475" s="1" t="s">
        <v>50</v>
      </c>
      <c r="B475" s="108">
        <v>3520220190</v>
      </c>
      <c r="C475" s="108"/>
      <c r="D475" s="107" t="s">
        <v>285</v>
      </c>
      <c r="E475" s="14">
        <f>E478+E476</f>
        <v>4318.1000000000004</v>
      </c>
      <c r="F475" s="14">
        <f t="shared" ref="F475:G475" si="177">F478+F476</f>
        <v>0</v>
      </c>
      <c r="G475" s="14">
        <f t="shared" si="177"/>
        <v>0</v>
      </c>
    </row>
    <row r="476" spans="1:7" ht="31.5">
      <c r="A476" s="1" t="s">
        <v>50</v>
      </c>
      <c r="B476" s="108">
        <v>3520220190</v>
      </c>
      <c r="C476" s="108" t="s">
        <v>69</v>
      </c>
      <c r="D476" s="107" t="s">
        <v>95</v>
      </c>
      <c r="E476" s="14">
        <f>E477</f>
        <v>3043.9</v>
      </c>
      <c r="F476" s="14">
        <f t="shared" ref="F476:G476" si="178">F477</f>
        <v>0</v>
      </c>
      <c r="G476" s="14">
        <f t="shared" si="178"/>
        <v>0</v>
      </c>
    </row>
    <row r="477" spans="1:7" ht="31.5">
      <c r="A477" s="1" t="s">
        <v>50</v>
      </c>
      <c r="B477" s="108">
        <v>3520220190</v>
      </c>
      <c r="C477" s="108">
        <v>240</v>
      </c>
      <c r="D477" s="107" t="s">
        <v>216</v>
      </c>
      <c r="E477" s="14">
        <f>'№ 4 ведом'!F376</f>
        <v>3043.9</v>
      </c>
      <c r="F477" s="14">
        <f>'№ 4 ведом'!G376</f>
        <v>0</v>
      </c>
      <c r="G477" s="14">
        <f>'№ 4 ведом'!H376</f>
        <v>0</v>
      </c>
    </row>
    <row r="478" spans="1:7" ht="31.5">
      <c r="A478" s="1" t="s">
        <v>50</v>
      </c>
      <c r="B478" s="108">
        <v>3520220190</v>
      </c>
      <c r="C478" s="108" t="s">
        <v>97</v>
      </c>
      <c r="D478" s="107" t="s">
        <v>98</v>
      </c>
      <c r="E478" s="14">
        <f>E479</f>
        <v>1274.2000000000003</v>
      </c>
      <c r="F478" s="14">
        <f t="shared" ref="F478:G478" si="179">F479</f>
        <v>0</v>
      </c>
      <c r="G478" s="14">
        <f t="shared" si="179"/>
        <v>0</v>
      </c>
    </row>
    <row r="479" spans="1:7">
      <c r="A479" s="1" t="s">
        <v>50</v>
      </c>
      <c r="B479" s="108">
        <v>3520220190</v>
      </c>
      <c r="C479" s="108">
        <v>610</v>
      </c>
      <c r="D479" s="107" t="s">
        <v>104</v>
      </c>
      <c r="E479" s="14">
        <f>'№ 4 ведом'!F820</f>
        <v>1274.2000000000003</v>
      </c>
      <c r="F479" s="14">
        <f>'№ 4 ведом'!G820</f>
        <v>0</v>
      </c>
      <c r="G479" s="14">
        <f>'№ 4 ведом'!H820</f>
        <v>0</v>
      </c>
    </row>
    <row r="480" spans="1:7" ht="31.5">
      <c r="A480" s="48" t="s">
        <v>50</v>
      </c>
      <c r="B480" s="7" t="s">
        <v>384</v>
      </c>
      <c r="C480" s="108"/>
      <c r="D480" s="107" t="s">
        <v>394</v>
      </c>
      <c r="E480" s="14">
        <f>E481</f>
        <v>5482.4000000000015</v>
      </c>
      <c r="F480" s="14">
        <f t="shared" ref="F480:G481" si="180">F481</f>
        <v>0</v>
      </c>
      <c r="G480" s="14">
        <f t="shared" si="180"/>
        <v>0</v>
      </c>
    </row>
    <row r="481" spans="1:7" ht="31.5">
      <c r="A481" s="48" t="s">
        <v>50</v>
      </c>
      <c r="B481" s="7" t="s">
        <v>384</v>
      </c>
      <c r="C481" s="108" t="s">
        <v>69</v>
      </c>
      <c r="D481" s="107" t="s">
        <v>95</v>
      </c>
      <c r="E481" s="14">
        <f>E482</f>
        <v>5482.4000000000015</v>
      </c>
      <c r="F481" s="14">
        <f t="shared" si="180"/>
        <v>0</v>
      </c>
      <c r="G481" s="14">
        <f t="shared" si="180"/>
        <v>0</v>
      </c>
    </row>
    <row r="482" spans="1:7" ht="31.5">
      <c r="A482" s="48" t="s">
        <v>50</v>
      </c>
      <c r="B482" s="7" t="s">
        <v>384</v>
      </c>
      <c r="C482" s="108">
        <v>240</v>
      </c>
      <c r="D482" s="107" t="s">
        <v>216</v>
      </c>
      <c r="E482" s="14">
        <f>'№ 4 ведом'!F379</f>
        <v>5482.4000000000015</v>
      </c>
      <c r="F482" s="14">
        <f>'№ 4 ведом'!G379</f>
        <v>0</v>
      </c>
      <c r="G482" s="14">
        <f>'№ 4 ведом'!H379</f>
        <v>0</v>
      </c>
    </row>
    <row r="483" spans="1:7" ht="31.5">
      <c r="A483" s="48" t="s">
        <v>50</v>
      </c>
      <c r="B483" s="108">
        <v>3520300000</v>
      </c>
      <c r="C483" s="108"/>
      <c r="D483" s="30" t="s">
        <v>264</v>
      </c>
      <c r="E483" s="14">
        <f>E484</f>
        <v>1186</v>
      </c>
      <c r="F483" s="14">
        <f t="shared" ref="F483:G485" si="181">F484</f>
        <v>824.7</v>
      </c>
      <c r="G483" s="14">
        <f t="shared" si="181"/>
        <v>824.7</v>
      </c>
    </row>
    <row r="484" spans="1:7">
      <c r="A484" s="48" t="s">
        <v>50</v>
      </c>
      <c r="B484" s="108">
        <v>3520320300</v>
      </c>
      <c r="C484" s="108"/>
      <c r="D484" s="30" t="s">
        <v>265</v>
      </c>
      <c r="E484" s="14">
        <f>E485</f>
        <v>1186</v>
      </c>
      <c r="F484" s="14">
        <f t="shared" si="181"/>
        <v>824.7</v>
      </c>
      <c r="G484" s="14">
        <f t="shared" si="181"/>
        <v>824.7</v>
      </c>
    </row>
    <row r="485" spans="1:7" ht="31.5">
      <c r="A485" s="48" t="s">
        <v>50</v>
      </c>
      <c r="B485" s="108">
        <v>3520320300</v>
      </c>
      <c r="C485" s="108" t="s">
        <v>97</v>
      </c>
      <c r="D485" s="30" t="s">
        <v>98</v>
      </c>
      <c r="E485" s="14">
        <f>E486</f>
        <v>1186</v>
      </c>
      <c r="F485" s="14">
        <f t="shared" si="181"/>
        <v>824.7</v>
      </c>
      <c r="G485" s="14">
        <f t="shared" si="181"/>
        <v>824.7</v>
      </c>
    </row>
    <row r="486" spans="1:7">
      <c r="A486" s="48" t="s">
        <v>50</v>
      </c>
      <c r="B486" s="108">
        <v>3520320300</v>
      </c>
      <c r="C486" s="108">
        <v>610</v>
      </c>
      <c r="D486" s="30" t="s">
        <v>104</v>
      </c>
      <c r="E486" s="14">
        <f>'№ 4 ведом'!F824</f>
        <v>1186</v>
      </c>
      <c r="F486" s="14">
        <f>'№ 4 ведом'!G824</f>
        <v>824.7</v>
      </c>
      <c r="G486" s="14">
        <f>'№ 4 ведом'!H824</f>
        <v>824.7</v>
      </c>
    </row>
    <row r="487" spans="1:7" ht="31.5">
      <c r="A487" s="48" t="s">
        <v>50</v>
      </c>
      <c r="B487" s="108">
        <v>3520400000</v>
      </c>
      <c r="C487" s="108"/>
      <c r="D487" s="107" t="s">
        <v>270</v>
      </c>
      <c r="E487" s="14">
        <f>E488</f>
        <v>886.80000000000007</v>
      </c>
      <c r="F487" s="14">
        <f t="shared" ref="F487:G489" si="182">F488</f>
        <v>897.5</v>
      </c>
      <c r="G487" s="14">
        <f t="shared" si="182"/>
        <v>897.5</v>
      </c>
    </row>
    <row r="488" spans="1:7">
      <c r="A488" s="48" t="s">
        <v>50</v>
      </c>
      <c r="B488" s="108">
        <v>3520420300</v>
      </c>
      <c r="C488" s="108"/>
      <c r="D488" s="107" t="s">
        <v>271</v>
      </c>
      <c r="E488" s="14">
        <f>E489</f>
        <v>886.80000000000007</v>
      </c>
      <c r="F488" s="14">
        <f t="shared" si="182"/>
        <v>897.5</v>
      </c>
      <c r="G488" s="14">
        <f t="shared" si="182"/>
        <v>897.5</v>
      </c>
    </row>
    <row r="489" spans="1:7" ht="31.5">
      <c r="A489" s="48" t="s">
        <v>50</v>
      </c>
      <c r="B489" s="108">
        <v>3520420300</v>
      </c>
      <c r="C489" s="108" t="s">
        <v>97</v>
      </c>
      <c r="D489" s="30" t="s">
        <v>98</v>
      </c>
      <c r="E489" s="14">
        <f>E490</f>
        <v>886.80000000000007</v>
      </c>
      <c r="F489" s="14">
        <f t="shared" si="182"/>
        <v>897.5</v>
      </c>
      <c r="G489" s="14">
        <f t="shared" si="182"/>
        <v>897.5</v>
      </c>
    </row>
    <row r="490" spans="1:7">
      <c r="A490" s="48" t="s">
        <v>50</v>
      </c>
      <c r="B490" s="108">
        <v>3520420300</v>
      </c>
      <c r="C490" s="108">
        <v>610</v>
      </c>
      <c r="D490" s="30" t="s">
        <v>104</v>
      </c>
      <c r="E490" s="14">
        <f>'№ 4 ведом'!F828</f>
        <v>886.80000000000007</v>
      </c>
      <c r="F490" s="14">
        <f>'№ 4 ведом'!G828</f>
        <v>897.5</v>
      </c>
      <c r="G490" s="14">
        <f>'№ 4 ведом'!H828</f>
        <v>897.5</v>
      </c>
    </row>
    <row r="491" spans="1:7" ht="31.5">
      <c r="A491" s="48" t="s">
        <v>50</v>
      </c>
      <c r="B491" s="108">
        <v>3520500000</v>
      </c>
      <c r="C491" s="108"/>
      <c r="D491" s="107" t="s">
        <v>269</v>
      </c>
      <c r="E491" s="14">
        <f>E492</f>
        <v>565.90000000000009</v>
      </c>
      <c r="F491" s="14">
        <f t="shared" ref="F491:G493" si="183">F492</f>
        <v>581.70000000000005</v>
      </c>
      <c r="G491" s="14">
        <f t="shared" si="183"/>
        <v>581.70000000000005</v>
      </c>
    </row>
    <row r="492" spans="1:7">
      <c r="A492" s="48" t="s">
        <v>50</v>
      </c>
      <c r="B492" s="108">
        <v>3520520200</v>
      </c>
      <c r="C492" s="108"/>
      <c r="D492" s="107" t="s">
        <v>252</v>
      </c>
      <c r="E492" s="14">
        <f>E493</f>
        <v>565.90000000000009</v>
      </c>
      <c r="F492" s="14">
        <f t="shared" si="183"/>
        <v>581.70000000000005</v>
      </c>
      <c r="G492" s="14">
        <f t="shared" si="183"/>
        <v>581.70000000000005</v>
      </c>
    </row>
    <row r="493" spans="1:7" ht="31.5">
      <c r="A493" s="48" t="s">
        <v>50</v>
      </c>
      <c r="B493" s="108">
        <v>3520520200</v>
      </c>
      <c r="C493" s="108" t="s">
        <v>97</v>
      </c>
      <c r="D493" s="30" t="s">
        <v>98</v>
      </c>
      <c r="E493" s="14">
        <f>E494</f>
        <v>565.90000000000009</v>
      </c>
      <c r="F493" s="14">
        <f t="shared" si="183"/>
        <v>581.70000000000005</v>
      </c>
      <c r="G493" s="14">
        <f t="shared" si="183"/>
        <v>581.70000000000005</v>
      </c>
    </row>
    <row r="494" spans="1:7">
      <c r="A494" s="48" t="s">
        <v>50</v>
      </c>
      <c r="B494" s="108">
        <v>3520520200</v>
      </c>
      <c r="C494" s="108">
        <v>610</v>
      </c>
      <c r="D494" s="30" t="s">
        <v>104</v>
      </c>
      <c r="E494" s="14">
        <f>'№ 4 ведом'!F832</f>
        <v>565.90000000000009</v>
      </c>
      <c r="F494" s="14">
        <f>'№ 4 ведом'!G832</f>
        <v>581.70000000000005</v>
      </c>
      <c r="G494" s="14">
        <f>'№ 4 ведом'!H832</f>
        <v>581.70000000000005</v>
      </c>
    </row>
    <row r="495" spans="1:7">
      <c r="A495" s="108" t="s">
        <v>51</v>
      </c>
      <c r="B495" s="108" t="s">
        <v>66</v>
      </c>
      <c r="C495" s="108" t="s">
        <v>66</v>
      </c>
      <c r="D495" s="107" t="s">
        <v>11</v>
      </c>
      <c r="E495" s="14">
        <f>E496+E574+E588</f>
        <v>609717.29999999993</v>
      </c>
      <c r="F495" s="14">
        <f>F496+F574+F588</f>
        <v>592153.89999999991</v>
      </c>
      <c r="G495" s="14">
        <f>G496+G574+G588</f>
        <v>511767.2</v>
      </c>
    </row>
    <row r="496" spans="1:7" ht="47.25">
      <c r="A496" s="108" t="s">
        <v>51</v>
      </c>
      <c r="B496" s="108">
        <v>3100000000</v>
      </c>
      <c r="C496" s="108"/>
      <c r="D496" s="107" t="s">
        <v>328</v>
      </c>
      <c r="E496" s="14">
        <f>E497+E554+E562</f>
        <v>604294.79999999993</v>
      </c>
      <c r="F496" s="14">
        <f>F497+F554+F562</f>
        <v>588315.89999999991</v>
      </c>
      <c r="G496" s="14">
        <f>G497+G554+G562</f>
        <v>507929.2</v>
      </c>
    </row>
    <row r="497" spans="1:7">
      <c r="A497" s="108" t="s">
        <v>51</v>
      </c>
      <c r="B497" s="108">
        <v>3110000000</v>
      </c>
      <c r="C497" s="108"/>
      <c r="D497" s="107" t="s">
        <v>214</v>
      </c>
      <c r="E497" s="14">
        <f>E498+E508+E544+E518+E537+E530</f>
        <v>591508.19999999995</v>
      </c>
      <c r="F497" s="14">
        <f>F498+F508+F544+F518+F537+F530</f>
        <v>578716.69999999995</v>
      </c>
      <c r="G497" s="14">
        <f>G498+G508+G544+G518+G537+G530</f>
        <v>498290.5</v>
      </c>
    </row>
    <row r="498" spans="1:7" ht="47.25">
      <c r="A498" s="108" t="s">
        <v>51</v>
      </c>
      <c r="B498" s="108">
        <v>3110100000</v>
      </c>
      <c r="C498" s="30"/>
      <c r="D498" s="107" t="s">
        <v>164</v>
      </c>
      <c r="E498" s="14">
        <f>E499+E502+E505</f>
        <v>432629.99999999994</v>
      </c>
      <c r="F498" s="14">
        <f t="shared" ref="F498:G498" si="184">F499+F502+F505</f>
        <v>433963.1</v>
      </c>
      <c r="G498" s="14">
        <f t="shared" si="184"/>
        <v>436831.2</v>
      </c>
    </row>
    <row r="499" spans="1:7" ht="94.5">
      <c r="A499" s="108" t="s">
        <v>51</v>
      </c>
      <c r="B499" s="108">
        <v>3110110750</v>
      </c>
      <c r="C499" s="108"/>
      <c r="D499" s="107" t="s">
        <v>165</v>
      </c>
      <c r="E499" s="14">
        <f>E500</f>
        <v>368045.89999999997</v>
      </c>
      <c r="F499" s="14">
        <f t="shared" ref="F499:G500" si="185">F500</f>
        <v>368661.1</v>
      </c>
      <c r="G499" s="14">
        <f t="shared" si="185"/>
        <v>371025.9</v>
      </c>
    </row>
    <row r="500" spans="1:7" ht="31.5">
      <c r="A500" s="108" t="s">
        <v>51</v>
      </c>
      <c r="B500" s="108">
        <v>3110110750</v>
      </c>
      <c r="C500" s="108" t="s">
        <v>97</v>
      </c>
      <c r="D500" s="107" t="s">
        <v>98</v>
      </c>
      <c r="E500" s="14">
        <f>E501</f>
        <v>368045.89999999997</v>
      </c>
      <c r="F500" s="14">
        <f t="shared" si="185"/>
        <v>368661.1</v>
      </c>
      <c r="G500" s="14">
        <f t="shared" si="185"/>
        <v>371025.9</v>
      </c>
    </row>
    <row r="501" spans="1:7">
      <c r="A501" s="108" t="s">
        <v>51</v>
      </c>
      <c r="B501" s="108">
        <v>3110110750</v>
      </c>
      <c r="C501" s="108">
        <v>610</v>
      </c>
      <c r="D501" s="107" t="s">
        <v>104</v>
      </c>
      <c r="E501" s="14">
        <f>'№ 4 ведом'!F839</f>
        <v>368045.89999999997</v>
      </c>
      <c r="F501" s="14">
        <f>'№ 4 ведом'!G839</f>
        <v>368661.1</v>
      </c>
      <c r="G501" s="14">
        <f>'№ 4 ведом'!H839</f>
        <v>371025.9</v>
      </c>
    </row>
    <row r="502" spans="1:7" ht="31.5">
      <c r="A502" s="108" t="s">
        <v>51</v>
      </c>
      <c r="B502" s="7" t="s">
        <v>357</v>
      </c>
      <c r="C502" s="7"/>
      <c r="D502" s="22" t="s">
        <v>123</v>
      </c>
      <c r="E502" s="14">
        <f>E503</f>
        <v>64221.8</v>
      </c>
      <c r="F502" s="14">
        <f t="shared" ref="F502:G503" si="186">F503</f>
        <v>65302</v>
      </c>
      <c r="G502" s="14">
        <f t="shared" si="186"/>
        <v>65805.3</v>
      </c>
    </row>
    <row r="503" spans="1:7" ht="31.5">
      <c r="A503" s="108" t="s">
        <v>51</v>
      </c>
      <c r="B503" s="7" t="s">
        <v>357</v>
      </c>
      <c r="C503" s="108" t="s">
        <v>97</v>
      </c>
      <c r="D503" s="107" t="s">
        <v>98</v>
      </c>
      <c r="E503" s="14">
        <f>E504</f>
        <v>64221.8</v>
      </c>
      <c r="F503" s="14">
        <f t="shared" si="186"/>
        <v>65302</v>
      </c>
      <c r="G503" s="14">
        <f t="shared" si="186"/>
        <v>65805.3</v>
      </c>
    </row>
    <row r="504" spans="1:7">
      <c r="A504" s="108" t="s">
        <v>51</v>
      </c>
      <c r="B504" s="7" t="s">
        <v>357</v>
      </c>
      <c r="C504" s="108">
        <v>610</v>
      </c>
      <c r="D504" s="107" t="s">
        <v>104</v>
      </c>
      <c r="E504" s="14">
        <f>'№ 4 ведом'!F842</f>
        <v>64221.8</v>
      </c>
      <c r="F504" s="14">
        <f>'№ 4 ведом'!G842</f>
        <v>65302</v>
      </c>
      <c r="G504" s="14">
        <f>'№ 4 ведом'!H842</f>
        <v>65805.3</v>
      </c>
    </row>
    <row r="505" spans="1:7" ht="31.5">
      <c r="A505" s="108" t="s">
        <v>51</v>
      </c>
      <c r="B505" s="7" t="s">
        <v>803</v>
      </c>
      <c r="C505" s="108"/>
      <c r="D505" s="33" t="s">
        <v>801</v>
      </c>
      <c r="E505" s="14">
        <f>E506</f>
        <v>362.3</v>
      </c>
      <c r="F505" s="14">
        <f t="shared" ref="F505:G506" si="187">F506</f>
        <v>0</v>
      </c>
      <c r="G505" s="14">
        <f t="shared" si="187"/>
        <v>0</v>
      </c>
    </row>
    <row r="506" spans="1:7" ht="31.5">
      <c r="A506" s="108" t="s">
        <v>51</v>
      </c>
      <c r="B506" s="7" t="s">
        <v>803</v>
      </c>
      <c r="C506" s="108" t="s">
        <v>97</v>
      </c>
      <c r="D506" s="107" t="s">
        <v>98</v>
      </c>
      <c r="E506" s="14">
        <f>E507</f>
        <v>362.3</v>
      </c>
      <c r="F506" s="14">
        <f t="shared" si="187"/>
        <v>0</v>
      </c>
      <c r="G506" s="14">
        <f t="shared" si="187"/>
        <v>0</v>
      </c>
    </row>
    <row r="507" spans="1:7">
      <c r="A507" s="108" t="s">
        <v>51</v>
      </c>
      <c r="B507" s="7" t="s">
        <v>803</v>
      </c>
      <c r="C507" s="108">
        <v>610</v>
      </c>
      <c r="D507" s="107" t="s">
        <v>104</v>
      </c>
      <c r="E507" s="14">
        <f>'№ 4 ведом'!F845</f>
        <v>362.3</v>
      </c>
      <c r="F507" s="14">
        <f>'№ 4 ведом'!G845</f>
        <v>0</v>
      </c>
      <c r="G507" s="14">
        <f>'№ 4 ведом'!H845</f>
        <v>0</v>
      </c>
    </row>
    <row r="508" spans="1:7" ht="31.5">
      <c r="A508" s="108" t="s">
        <v>51</v>
      </c>
      <c r="B508" s="108">
        <v>3110300000</v>
      </c>
      <c r="C508" s="108"/>
      <c r="D508" s="107" t="s">
        <v>374</v>
      </c>
      <c r="E508" s="14">
        <f>E509+E512+E515</f>
        <v>32431.7</v>
      </c>
      <c r="F508" s="14">
        <f t="shared" ref="F508:G508" si="188">F509+F512+F515</f>
        <v>30322.1</v>
      </c>
      <c r="G508" s="14">
        <f t="shared" si="188"/>
        <v>29186.5</v>
      </c>
    </row>
    <row r="509" spans="1:7" ht="47.25">
      <c r="A509" s="108" t="s">
        <v>51</v>
      </c>
      <c r="B509" s="108" t="s">
        <v>358</v>
      </c>
      <c r="C509" s="108"/>
      <c r="D509" s="107" t="s">
        <v>246</v>
      </c>
      <c r="E509" s="14">
        <f>E510</f>
        <v>25463</v>
      </c>
      <c r="F509" s="14">
        <f t="shared" ref="F509:G510" si="189">F510</f>
        <v>24840.699999999997</v>
      </c>
      <c r="G509" s="14">
        <f t="shared" si="189"/>
        <v>23705</v>
      </c>
    </row>
    <row r="510" spans="1:7" ht="31.5">
      <c r="A510" s="108" t="s">
        <v>51</v>
      </c>
      <c r="B510" s="108" t="s">
        <v>358</v>
      </c>
      <c r="C510" s="108" t="s">
        <v>97</v>
      </c>
      <c r="D510" s="107" t="s">
        <v>98</v>
      </c>
      <c r="E510" s="14">
        <f>E511</f>
        <v>25463</v>
      </c>
      <c r="F510" s="14">
        <f t="shared" si="189"/>
        <v>24840.699999999997</v>
      </c>
      <c r="G510" s="14">
        <f t="shared" si="189"/>
        <v>23705</v>
      </c>
    </row>
    <row r="511" spans="1:7">
      <c r="A511" s="108" t="s">
        <v>51</v>
      </c>
      <c r="B511" s="108" t="s">
        <v>358</v>
      </c>
      <c r="C511" s="108">
        <v>610</v>
      </c>
      <c r="D511" s="107" t="s">
        <v>104</v>
      </c>
      <c r="E511" s="14">
        <f>'№ 4 ведом'!F849</f>
        <v>25463</v>
      </c>
      <c r="F511" s="14">
        <f>'№ 4 ведом'!G849</f>
        <v>24840.699999999997</v>
      </c>
      <c r="G511" s="14">
        <f>'№ 4 ведом'!H849</f>
        <v>23705</v>
      </c>
    </row>
    <row r="512" spans="1:7" ht="47.25">
      <c r="A512" s="108" t="s">
        <v>51</v>
      </c>
      <c r="B512" s="108">
        <v>3110320010</v>
      </c>
      <c r="C512" s="108"/>
      <c r="D512" s="107" t="s">
        <v>258</v>
      </c>
      <c r="E512" s="14">
        <f>E513</f>
        <v>5053</v>
      </c>
      <c r="F512" s="14">
        <f t="shared" ref="F512:G513" si="190">F513</f>
        <v>4500</v>
      </c>
      <c r="G512" s="14">
        <f t="shared" si="190"/>
        <v>4500</v>
      </c>
    </row>
    <row r="513" spans="1:7" ht="31.5">
      <c r="A513" s="108" t="s">
        <v>51</v>
      </c>
      <c r="B513" s="108">
        <v>3110320010</v>
      </c>
      <c r="C513" s="108" t="s">
        <v>97</v>
      </c>
      <c r="D513" s="107" t="s">
        <v>98</v>
      </c>
      <c r="E513" s="14">
        <f>E514</f>
        <v>5053</v>
      </c>
      <c r="F513" s="14">
        <f t="shared" si="190"/>
        <v>4500</v>
      </c>
      <c r="G513" s="14">
        <f t="shared" si="190"/>
        <v>4500</v>
      </c>
    </row>
    <row r="514" spans="1:7">
      <c r="A514" s="108" t="s">
        <v>51</v>
      </c>
      <c r="B514" s="108">
        <v>3110320010</v>
      </c>
      <c r="C514" s="108">
        <v>610</v>
      </c>
      <c r="D514" s="107" t="s">
        <v>104</v>
      </c>
      <c r="E514" s="14">
        <f>'№ 4 ведом'!F852</f>
        <v>5053</v>
      </c>
      <c r="F514" s="14">
        <f>'№ 4 ведом'!G852</f>
        <v>4500</v>
      </c>
      <c r="G514" s="14">
        <f>'№ 4 ведом'!H852</f>
        <v>4500</v>
      </c>
    </row>
    <row r="515" spans="1:7" ht="47.25">
      <c r="A515" s="108" t="s">
        <v>51</v>
      </c>
      <c r="B515" s="108">
        <v>3110320020</v>
      </c>
      <c r="C515" s="108"/>
      <c r="D515" s="107" t="s">
        <v>290</v>
      </c>
      <c r="E515" s="14">
        <f>E516</f>
        <v>1915.7</v>
      </c>
      <c r="F515" s="14">
        <f t="shared" ref="F515:G516" si="191">F516</f>
        <v>981.4</v>
      </c>
      <c r="G515" s="14">
        <f t="shared" si="191"/>
        <v>981.5</v>
      </c>
    </row>
    <row r="516" spans="1:7" ht="31.5">
      <c r="A516" s="108" t="s">
        <v>51</v>
      </c>
      <c r="B516" s="108">
        <v>3110320020</v>
      </c>
      <c r="C516" s="108" t="s">
        <v>97</v>
      </c>
      <c r="D516" s="107" t="s">
        <v>98</v>
      </c>
      <c r="E516" s="14">
        <f>E517</f>
        <v>1915.7</v>
      </c>
      <c r="F516" s="14">
        <f t="shared" si="191"/>
        <v>981.4</v>
      </c>
      <c r="G516" s="14">
        <f t="shared" si="191"/>
        <v>981.5</v>
      </c>
    </row>
    <row r="517" spans="1:7">
      <c r="A517" s="108" t="s">
        <v>51</v>
      </c>
      <c r="B517" s="108">
        <v>3110320020</v>
      </c>
      <c r="C517" s="108">
        <v>610</v>
      </c>
      <c r="D517" s="107" t="s">
        <v>104</v>
      </c>
      <c r="E517" s="14">
        <f>'№ 4 ведом'!F855</f>
        <v>1915.7</v>
      </c>
      <c r="F517" s="14">
        <f>'№ 4 ведом'!G855</f>
        <v>981.4</v>
      </c>
      <c r="G517" s="14">
        <f>'№ 4 ведом'!H855</f>
        <v>981.5</v>
      </c>
    </row>
    <row r="518" spans="1:7" ht="70.5" customHeight="1">
      <c r="A518" s="108" t="s">
        <v>51</v>
      </c>
      <c r="B518" s="108">
        <v>3110500000</v>
      </c>
      <c r="C518" s="108"/>
      <c r="D518" s="107" t="s">
        <v>229</v>
      </c>
      <c r="E518" s="14">
        <f>E519+E524+E527</f>
        <v>79267.099999999991</v>
      </c>
      <c r="F518" s="14">
        <f t="shared" ref="F518:G518" si="192">F519+F524+F527</f>
        <v>0</v>
      </c>
      <c r="G518" s="14">
        <f t="shared" si="192"/>
        <v>0</v>
      </c>
    </row>
    <row r="519" spans="1:7" ht="31.5">
      <c r="A519" s="108" t="s">
        <v>51</v>
      </c>
      <c r="B519" s="7" t="s">
        <v>371</v>
      </c>
      <c r="C519" s="108"/>
      <c r="D519" s="30" t="s">
        <v>319</v>
      </c>
      <c r="E519" s="14">
        <f>E520+E522</f>
        <v>5033.5</v>
      </c>
      <c r="F519" s="14">
        <f t="shared" ref="F519:G519" si="193">F520+F522</f>
        <v>0</v>
      </c>
      <c r="G519" s="14">
        <f t="shared" si="193"/>
        <v>0</v>
      </c>
    </row>
    <row r="520" spans="1:7" ht="31.5">
      <c r="A520" s="108" t="s">
        <v>51</v>
      </c>
      <c r="B520" s="7" t="s">
        <v>371</v>
      </c>
      <c r="C520" s="108" t="s">
        <v>69</v>
      </c>
      <c r="D520" s="107" t="s">
        <v>95</v>
      </c>
      <c r="E520" s="14">
        <f>E521</f>
        <v>4343</v>
      </c>
      <c r="F520" s="14">
        <f t="shared" ref="F520:G520" si="194">F521</f>
        <v>0</v>
      </c>
      <c r="G520" s="14">
        <f t="shared" si="194"/>
        <v>0</v>
      </c>
    </row>
    <row r="521" spans="1:7" ht="31.5">
      <c r="A521" s="108" t="s">
        <v>51</v>
      </c>
      <c r="B521" s="7" t="s">
        <v>371</v>
      </c>
      <c r="C521" s="108">
        <v>240</v>
      </c>
      <c r="D521" s="107" t="s">
        <v>216</v>
      </c>
      <c r="E521" s="14">
        <f>'№ 4 ведом'!F386</f>
        <v>4343</v>
      </c>
      <c r="F521" s="14">
        <f>'№ 4 ведом'!G386</f>
        <v>0</v>
      </c>
      <c r="G521" s="14">
        <f>'№ 4 ведом'!H386</f>
        <v>0</v>
      </c>
    </row>
    <row r="522" spans="1:7" ht="31.5">
      <c r="A522" s="108" t="s">
        <v>51</v>
      </c>
      <c r="B522" s="7" t="s">
        <v>371</v>
      </c>
      <c r="C522" s="108" t="s">
        <v>97</v>
      </c>
      <c r="D522" s="107" t="s">
        <v>98</v>
      </c>
      <c r="E522" s="14">
        <f>E523</f>
        <v>690.5</v>
      </c>
      <c r="F522" s="14">
        <f t="shared" ref="F522:G522" si="195">F523</f>
        <v>0</v>
      </c>
      <c r="G522" s="14">
        <f t="shared" si="195"/>
        <v>0</v>
      </c>
    </row>
    <row r="523" spans="1:7">
      <c r="A523" s="108" t="s">
        <v>51</v>
      </c>
      <c r="B523" s="7" t="s">
        <v>371</v>
      </c>
      <c r="C523" s="108">
        <v>610</v>
      </c>
      <c r="D523" s="107" t="s">
        <v>104</v>
      </c>
      <c r="E523" s="14">
        <f>'№ 4 ведом'!F859</f>
        <v>690.5</v>
      </c>
      <c r="F523" s="14">
        <f>'№ 4 ведом'!G859</f>
        <v>0</v>
      </c>
      <c r="G523" s="14">
        <f>'№ 4 ведом'!H859</f>
        <v>0</v>
      </c>
    </row>
    <row r="524" spans="1:7" ht="47.25">
      <c r="A524" s="108" t="s">
        <v>51</v>
      </c>
      <c r="B524" s="7" t="s">
        <v>382</v>
      </c>
      <c r="C524" s="108"/>
      <c r="D524" s="30" t="s">
        <v>381</v>
      </c>
      <c r="E524" s="14">
        <f>E525</f>
        <v>1500</v>
      </c>
      <c r="F524" s="14">
        <f t="shared" ref="F524:G525" si="196">F525</f>
        <v>0</v>
      </c>
      <c r="G524" s="14">
        <f t="shared" si="196"/>
        <v>0</v>
      </c>
    </row>
    <row r="525" spans="1:7" ht="31.5">
      <c r="A525" s="108" t="s">
        <v>51</v>
      </c>
      <c r="B525" s="7" t="s">
        <v>382</v>
      </c>
      <c r="C525" s="108" t="s">
        <v>97</v>
      </c>
      <c r="D525" s="107" t="s">
        <v>98</v>
      </c>
      <c r="E525" s="14">
        <f>E526</f>
        <v>1500</v>
      </c>
      <c r="F525" s="14">
        <f t="shared" si="196"/>
        <v>0</v>
      </c>
      <c r="G525" s="14">
        <f t="shared" si="196"/>
        <v>0</v>
      </c>
    </row>
    <row r="526" spans="1:7">
      <c r="A526" s="108" t="s">
        <v>51</v>
      </c>
      <c r="B526" s="7" t="s">
        <v>382</v>
      </c>
      <c r="C526" s="108">
        <v>610</v>
      </c>
      <c r="D526" s="107" t="s">
        <v>104</v>
      </c>
      <c r="E526" s="14">
        <f>'№ 4 ведом'!F862</f>
        <v>1500</v>
      </c>
      <c r="F526" s="14">
        <f>'№ 4 ведом'!G862</f>
        <v>0</v>
      </c>
      <c r="G526" s="14">
        <f>'№ 4 ведом'!H862</f>
        <v>0</v>
      </c>
    </row>
    <row r="527" spans="1:7" ht="31.5">
      <c r="A527" s="108" t="s">
        <v>51</v>
      </c>
      <c r="B527" s="108" t="s">
        <v>375</v>
      </c>
      <c r="C527" s="108"/>
      <c r="D527" s="107" t="s">
        <v>380</v>
      </c>
      <c r="E527" s="14">
        <f>E528</f>
        <v>72733.599999999991</v>
      </c>
      <c r="F527" s="14">
        <f t="shared" ref="F527:G528" si="197">F528</f>
        <v>0</v>
      </c>
      <c r="G527" s="14">
        <f t="shared" si="197"/>
        <v>0</v>
      </c>
    </row>
    <row r="528" spans="1:7" ht="31.5">
      <c r="A528" s="108" t="s">
        <v>51</v>
      </c>
      <c r="B528" s="108" t="s">
        <v>375</v>
      </c>
      <c r="C528" s="108" t="s">
        <v>69</v>
      </c>
      <c r="D528" s="107" t="s">
        <v>95</v>
      </c>
      <c r="E528" s="14">
        <f>E529</f>
        <v>72733.599999999991</v>
      </c>
      <c r="F528" s="14">
        <f t="shared" si="197"/>
        <v>0</v>
      </c>
      <c r="G528" s="14">
        <f t="shared" si="197"/>
        <v>0</v>
      </c>
    </row>
    <row r="529" spans="1:7" ht="31.5">
      <c r="A529" s="108" t="s">
        <v>51</v>
      </c>
      <c r="B529" s="108" t="s">
        <v>375</v>
      </c>
      <c r="C529" s="108">
        <v>240</v>
      </c>
      <c r="D529" s="107" t="s">
        <v>216</v>
      </c>
      <c r="E529" s="14">
        <f>'№ 4 ведом'!F389</f>
        <v>72733.599999999991</v>
      </c>
      <c r="F529" s="14">
        <f>'№ 4 ведом'!G389</f>
        <v>0</v>
      </c>
      <c r="G529" s="14">
        <f>'№ 4 ведом'!H389</f>
        <v>0</v>
      </c>
    </row>
    <row r="530" spans="1:7" ht="31.5">
      <c r="A530" s="108" t="s">
        <v>51</v>
      </c>
      <c r="B530" s="7" t="s">
        <v>466</v>
      </c>
      <c r="C530" s="108"/>
      <c r="D530" s="107" t="s">
        <v>467</v>
      </c>
      <c r="E530" s="14">
        <f>E534+E531</f>
        <v>1949.1</v>
      </c>
      <c r="F530" s="14">
        <f t="shared" ref="F530:G530" si="198">F534+F531</f>
        <v>0</v>
      </c>
      <c r="G530" s="14">
        <f t="shared" si="198"/>
        <v>0</v>
      </c>
    </row>
    <row r="531" spans="1:7">
      <c r="A531" s="108" t="s">
        <v>51</v>
      </c>
      <c r="B531" s="7" t="s">
        <v>472</v>
      </c>
      <c r="C531" s="108"/>
      <c r="D531" s="107" t="s">
        <v>473</v>
      </c>
      <c r="E531" s="14">
        <f>E532</f>
        <v>1172</v>
      </c>
      <c r="F531" s="14">
        <f t="shared" ref="F531:G532" si="199">F532</f>
        <v>0</v>
      </c>
      <c r="G531" s="14">
        <f t="shared" si="199"/>
        <v>0</v>
      </c>
    </row>
    <row r="532" spans="1:7" ht="31.5">
      <c r="A532" s="108" t="s">
        <v>51</v>
      </c>
      <c r="B532" s="7" t="s">
        <v>472</v>
      </c>
      <c r="C532" s="108" t="s">
        <v>97</v>
      </c>
      <c r="D532" s="107" t="s">
        <v>98</v>
      </c>
      <c r="E532" s="14">
        <f>E533</f>
        <v>1172</v>
      </c>
      <c r="F532" s="14">
        <f t="shared" si="199"/>
        <v>0</v>
      </c>
      <c r="G532" s="14">
        <f t="shared" si="199"/>
        <v>0</v>
      </c>
    </row>
    <row r="533" spans="1:7">
      <c r="A533" s="108" t="s">
        <v>51</v>
      </c>
      <c r="B533" s="7" t="s">
        <v>472</v>
      </c>
      <c r="C533" s="108">
        <v>610</v>
      </c>
      <c r="D533" s="107" t="s">
        <v>104</v>
      </c>
      <c r="E533" s="14">
        <f>'№ 4 ведом'!F866</f>
        <v>1172</v>
      </c>
      <c r="F533" s="14">
        <f>'№ 4 ведом'!G866</f>
        <v>0</v>
      </c>
      <c r="G533" s="14">
        <f>'№ 4 ведом'!H866</f>
        <v>0</v>
      </c>
    </row>
    <row r="534" spans="1:7" ht="31.5">
      <c r="A534" s="108" t="s">
        <v>51</v>
      </c>
      <c r="B534" s="7" t="s">
        <v>468</v>
      </c>
      <c r="C534" s="108"/>
      <c r="D534" s="107" t="s">
        <v>469</v>
      </c>
      <c r="E534" s="14">
        <f>E535</f>
        <v>777.1</v>
      </c>
      <c r="F534" s="14">
        <f t="shared" ref="F534:G535" si="200">F535</f>
        <v>0</v>
      </c>
      <c r="G534" s="14">
        <f t="shared" si="200"/>
        <v>0</v>
      </c>
    </row>
    <row r="535" spans="1:7" ht="31.5">
      <c r="A535" s="108" t="s">
        <v>51</v>
      </c>
      <c r="B535" s="7" t="s">
        <v>468</v>
      </c>
      <c r="C535" s="108" t="s">
        <v>97</v>
      </c>
      <c r="D535" s="107" t="s">
        <v>98</v>
      </c>
      <c r="E535" s="14">
        <f>E536</f>
        <v>777.1</v>
      </c>
      <c r="F535" s="14">
        <f t="shared" si="200"/>
        <v>0</v>
      </c>
      <c r="G535" s="14">
        <f t="shared" si="200"/>
        <v>0</v>
      </c>
    </row>
    <row r="536" spans="1:7">
      <c r="A536" s="108" t="s">
        <v>51</v>
      </c>
      <c r="B536" s="7" t="s">
        <v>468</v>
      </c>
      <c r="C536" s="108">
        <v>610</v>
      </c>
      <c r="D536" s="107" t="s">
        <v>104</v>
      </c>
      <c r="E536" s="14">
        <f>'№ 4 ведом'!F869</f>
        <v>777.1</v>
      </c>
      <c r="F536" s="14">
        <f>'№ 4 ведом'!G869</f>
        <v>0</v>
      </c>
      <c r="G536" s="14">
        <f>'№ 4 ведом'!H869</f>
        <v>0</v>
      </c>
    </row>
    <row r="537" spans="1:7" ht="31.5">
      <c r="A537" s="58" t="s">
        <v>51</v>
      </c>
      <c r="B537" s="108" t="s">
        <v>342</v>
      </c>
      <c r="C537" s="100"/>
      <c r="D537" s="107" t="s">
        <v>299</v>
      </c>
      <c r="E537" s="14">
        <f>E538+E541</f>
        <v>13060.500000000002</v>
      </c>
      <c r="F537" s="14">
        <f t="shared" ref="F537:G537" si="201">F538+F541</f>
        <v>82195.199999999997</v>
      </c>
      <c r="G537" s="14">
        <f t="shared" si="201"/>
        <v>0</v>
      </c>
    </row>
    <row r="538" spans="1:7" ht="31.5">
      <c r="A538" s="58" t="s">
        <v>51</v>
      </c>
      <c r="B538" s="108" t="s">
        <v>343</v>
      </c>
      <c r="C538" s="108"/>
      <c r="D538" s="107" t="s">
        <v>298</v>
      </c>
      <c r="E538" s="14">
        <f>E539</f>
        <v>12389.000000000002</v>
      </c>
      <c r="F538" s="14">
        <f t="shared" ref="F538:G539" si="202">F539</f>
        <v>82072.099999999991</v>
      </c>
      <c r="G538" s="14">
        <f t="shared" si="202"/>
        <v>0</v>
      </c>
    </row>
    <row r="539" spans="1:7" ht="31.5">
      <c r="A539" s="58" t="s">
        <v>51</v>
      </c>
      <c r="B539" s="108" t="s">
        <v>343</v>
      </c>
      <c r="C539" s="108" t="s">
        <v>69</v>
      </c>
      <c r="D539" s="107" t="s">
        <v>95</v>
      </c>
      <c r="E539" s="14">
        <f>E540</f>
        <v>12389.000000000002</v>
      </c>
      <c r="F539" s="14">
        <f t="shared" si="202"/>
        <v>82072.099999999991</v>
      </c>
      <c r="G539" s="14">
        <f t="shared" si="202"/>
        <v>0</v>
      </c>
    </row>
    <row r="540" spans="1:7" ht="31.5">
      <c r="A540" s="58" t="s">
        <v>51</v>
      </c>
      <c r="B540" s="108" t="s">
        <v>343</v>
      </c>
      <c r="C540" s="108">
        <v>240</v>
      </c>
      <c r="D540" s="107" t="s">
        <v>216</v>
      </c>
      <c r="E540" s="14">
        <f>'№ 4 ведом'!F393</f>
        <v>12389.000000000002</v>
      </c>
      <c r="F540" s="14">
        <f>'№ 4 ведом'!G393</f>
        <v>82072.099999999991</v>
      </c>
      <c r="G540" s="14">
        <f>'№ 4 ведом'!H393</f>
        <v>0</v>
      </c>
    </row>
    <row r="541" spans="1:7" ht="31.5">
      <c r="A541" s="108" t="s">
        <v>51</v>
      </c>
      <c r="B541" s="108" t="s">
        <v>344</v>
      </c>
      <c r="C541" s="101"/>
      <c r="D541" s="22" t="s">
        <v>424</v>
      </c>
      <c r="E541" s="14">
        <f>E542</f>
        <v>671.5</v>
      </c>
      <c r="F541" s="14">
        <f t="shared" ref="F541:G542" si="203">F542</f>
        <v>123.1</v>
      </c>
      <c r="G541" s="14">
        <f t="shared" si="203"/>
        <v>0</v>
      </c>
    </row>
    <row r="542" spans="1:7" ht="31.5">
      <c r="A542" s="108" t="s">
        <v>51</v>
      </c>
      <c r="B542" s="108" t="s">
        <v>344</v>
      </c>
      <c r="C542" s="108" t="s">
        <v>69</v>
      </c>
      <c r="D542" s="107" t="s">
        <v>95</v>
      </c>
      <c r="E542" s="14">
        <f>E543</f>
        <v>671.5</v>
      </c>
      <c r="F542" s="14">
        <f t="shared" si="203"/>
        <v>123.1</v>
      </c>
      <c r="G542" s="14">
        <f t="shared" si="203"/>
        <v>0</v>
      </c>
    </row>
    <row r="543" spans="1:7" ht="31.5">
      <c r="A543" s="108" t="s">
        <v>51</v>
      </c>
      <c r="B543" s="108" t="s">
        <v>344</v>
      </c>
      <c r="C543" s="108">
        <v>240</v>
      </c>
      <c r="D543" s="107" t="s">
        <v>216</v>
      </c>
      <c r="E543" s="14">
        <f>'№ 4 ведом'!F396</f>
        <v>671.5</v>
      </c>
      <c r="F543" s="14">
        <f>'№ 4 ведом'!G396</f>
        <v>123.1</v>
      </c>
      <c r="G543" s="14">
        <f>'№ 4 ведом'!H396</f>
        <v>0</v>
      </c>
    </row>
    <row r="544" spans="1:7" ht="31.5">
      <c r="A544" s="108" t="s">
        <v>51</v>
      </c>
      <c r="B544" s="108" t="s">
        <v>359</v>
      </c>
      <c r="C544" s="108"/>
      <c r="D544" s="52" t="s">
        <v>300</v>
      </c>
      <c r="E544" s="14">
        <f>E548+E545+E551</f>
        <v>32169.800000000003</v>
      </c>
      <c r="F544" s="14">
        <f t="shared" ref="F544:G544" si="204">F548+F545+F551</f>
        <v>32236.300000000003</v>
      </c>
      <c r="G544" s="14">
        <f t="shared" si="204"/>
        <v>32272.800000000003</v>
      </c>
    </row>
    <row r="545" spans="1:7" ht="63">
      <c r="A545" s="108" t="s">
        <v>51</v>
      </c>
      <c r="B545" s="89" t="s">
        <v>418</v>
      </c>
      <c r="C545" s="108"/>
      <c r="D545" s="5" t="s">
        <v>417</v>
      </c>
      <c r="E545" s="14">
        <f>E546</f>
        <v>859.3</v>
      </c>
      <c r="F545" s="14">
        <f t="shared" ref="F545:G546" si="205">F546</f>
        <v>859.3</v>
      </c>
      <c r="G545" s="14">
        <f t="shared" si="205"/>
        <v>859.3</v>
      </c>
    </row>
    <row r="546" spans="1:7" ht="31.5">
      <c r="A546" s="108" t="s">
        <v>51</v>
      </c>
      <c r="B546" s="89" t="s">
        <v>418</v>
      </c>
      <c r="C546" s="108" t="s">
        <v>97</v>
      </c>
      <c r="D546" s="107" t="s">
        <v>98</v>
      </c>
      <c r="E546" s="14">
        <f>E547</f>
        <v>859.3</v>
      </c>
      <c r="F546" s="14">
        <f t="shared" si="205"/>
        <v>859.3</v>
      </c>
      <c r="G546" s="14">
        <f t="shared" si="205"/>
        <v>859.3</v>
      </c>
    </row>
    <row r="547" spans="1:7">
      <c r="A547" s="108" t="s">
        <v>51</v>
      </c>
      <c r="B547" s="89" t="s">
        <v>418</v>
      </c>
      <c r="C547" s="108">
        <v>610</v>
      </c>
      <c r="D547" s="107" t="s">
        <v>104</v>
      </c>
      <c r="E547" s="14">
        <f>'№ 4 ведом'!F873</f>
        <v>859.3</v>
      </c>
      <c r="F547" s="14">
        <f>'№ 4 ведом'!G873</f>
        <v>859.3</v>
      </c>
      <c r="G547" s="14">
        <f>'№ 4 ведом'!H873</f>
        <v>859.3</v>
      </c>
    </row>
    <row r="548" spans="1:7" ht="63">
      <c r="A548" s="108" t="s">
        <v>51</v>
      </c>
      <c r="B548" s="89" t="s">
        <v>360</v>
      </c>
      <c r="C548" s="108"/>
      <c r="D548" s="5" t="s">
        <v>275</v>
      </c>
      <c r="E548" s="14">
        <f>E549</f>
        <v>2874.8</v>
      </c>
      <c r="F548" s="14">
        <f t="shared" ref="F548:G549" si="206">F549</f>
        <v>2941.3</v>
      </c>
      <c r="G548" s="14">
        <f t="shared" si="206"/>
        <v>2977.8</v>
      </c>
    </row>
    <row r="549" spans="1:7" ht="31.5">
      <c r="A549" s="108" t="s">
        <v>51</v>
      </c>
      <c r="B549" s="89" t="s">
        <v>360</v>
      </c>
      <c r="C549" s="108" t="s">
        <v>97</v>
      </c>
      <c r="D549" s="107" t="s">
        <v>98</v>
      </c>
      <c r="E549" s="14">
        <f>E550</f>
        <v>2874.8</v>
      </c>
      <c r="F549" s="14">
        <f t="shared" si="206"/>
        <v>2941.3</v>
      </c>
      <c r="G549" s="14">
        <f t="shared" si="206"/>
        <v>2977.8</v>
      </c>
    </row>
    <row r="550" spans="1:7">
      <c r="A550" s="108" t="s">
        <v>51</v>
      </c>
      <c r="B550" s="89" t="s">
        <v>360</v>
      </c>
      <c r="C550" s="108">
        <v>610</v>
      </c>
      <c r="D550" s="107" t="s">
        <v>104</v>
      </c>
      <c r="E550" s="14">
        <f>'№ 4 ведом'!F876</f>
        <v>2874.8</v>
      </c>
      <c r="F550" s="14">
        <f>'№ 4 ведом'!G876</f>
        <v>2941.3</v>
      </c>
      <c r="G550" s="14">
        <f>'№ 4 ведом'!H876</f>
        <v>2977.8</v>
      </c>
    </row>
    <row r="551" spans="1:7" ht="47.25">
      <c r="A551" s="108" t="s">
        <v>51</v>
      </c>
      <c r="B551" s="89" t="s">
        <v>420</v>
      </c>
      <c r="C551" s="108"/>
      <c r="D551" s="33" t="s">
        <v>419</v>
      </c>
      <c r="E551" s="14">
        <f>E552</f>
        <v>28435.7</v>
      </c>
      <c r="F551" s="14">
        <f t="shared" ref="F551:G552" si="207">F552</f>
        <v>28435.7</v>
      </c>
      <c r="G551" s="14">
        <f t="shared" si="207"/>
        <v>28435.7</v>
      </c>
    </row>
    <row r="552" spans="1:7" ht="31.5">
      <c r="A552" s="108" t="s">
        <v>51</v>
      </c>
      <c r="B552" s="89" t="s">
        <v>420</v>
      </c>
      <c r="C552" s="108" t="s">
        <v>97</v>
      </c>
      <c r="D552" s="107" t="s">
        <v>98</v>
      </c>
      <c r="E552" s="14">
        <f>E553</f>
        <v>28435.7</v>
      </c>
      <c r="F552" s="14">
        <f t="shared" si="207"/>
        <v>28435.7</v>
      </c>
      <c r="G552" s="14">
        <f t="shared" si="207"/>
        <v>28435.7</v>
      </c>
    </row>
    <row r="553" spans="1:7">
      <c r="A553" s="108" t="s">
        <v>51</v>
      </c>
      <c r="B553" s="89" t="s">
        <v>420</v>
      </c>
      <c r="C553" s="108">
        <v>610</v>
      </c>
      <c r="D553" s="107" t="s">
        <v>104</v>
      </c>
      <c r="E553" s="14">
        <f>'№ 4 ведом'!F879</f>
        <v>28435.7</v>
      </c>
      <c r="F553" s="14">
        <f>'№ 4 ведом'!G879</f>
        <v>28435.7</v>
      </c>
      <c r="G553" s="14">
        <f>'№ 4 ведом'!H879</f>
        <v>28435.7</v>
      </c>
    </row>
    <row r="554" spans="1:7">
      <c r="A554" s="108" t="s">
        <v>51</v>
      </c>
      <c r="B554" s="108">
        <v>3120000000</v>
      </c>
      <c r="C554" s="108"/>
      <c r="D554" s="107" t="s">
        <v>121</v>
      </c>
      <c r="E554" s="14">
        <f>E555</f>
        <v>9026.9</v>
      </c>
      <c r="F554" s="14">
        <f t="shared" ref="F554:G554" si="208">F555</f>
        <v>8999.2000000000007</v>
      </c>
      <c r="G554" s="14">
        <f t="shared" si="208"/>
        <v>9038.7000000000007</v>
      </c>
    </row>
    <row r="555" spans="1:7" ht="47.25">
      <c r="A555" s="108" t="s">
        <v>51</v>
      </c>
      <c r="B555" s="108">
        <v>3120100000</v>
      </c>
      <c r="C555" s="108"/>
      <c r="D555" s="107" t="s">
        <v>122</v>
      </c>
      <c r="E555" s="14">
        <f>E556+E559</f>
        <v>9026.9</v>
      </c>
      <c r="F555" s="14">
        <f t="shared" ref="F555:G555" si="209">F556+F559</f>
        <v>8999.2000000000007</v>
      </c>
      <c r="G555" s="14">
        <f t="shared" si="209"/>
        <v>9038.7000000000007</v>
      </c>
    </row>
    <row r="556" spans="1:7" ht="31.5">
      <c r="A556" s="108" t="s">
        <v>51</v>
      </c>
      <c r="B556" s="108">
        <v>3120120010</v>
      </c>
      <c r="C556" s="108"/>
      <c r="D556" s="107" t="s">
        <v>123</v>
      </c>
      <c r="E556" s="14">
        <f>E557</f>
        <v>8961</v>
      </c>
      <c r="F556" s="14">
        <f t="shared" ref="F556:G557" si="210">F557</f>
        <v>8999.2000000000007</v>
      </c>
      <c r="G556" s="14">
        <f t="shared" si="210"/>
        <v>9038.7000000000007</v>
      </c>
    </row>
    <row r="557" spans="1:7" ht="31.5">
      <c r="A557" s="108" t="s">
        <v>51</v>
      </c>
      <c r="B557" s="108">
        <v>3120120010</v>
      </c>
      <c r="C557" s="108" t="s">
        <v>97</v>
      </c>
      <c r="D557" s="107" t="s">
        <v>98</v>
      </c>
      <c r="E557" s="14">
        <f>E558</f>
        <v>8961</v>
      </c>
      <c r="F557" s="14">
        <f t="shared" si="210"/>
        <v>8999.2000000000007</v>
      </c>
      <c r="G557" s="14">
        <f t="shared" si="210"/>
        <v>9038.7000000000007</v>
      </c>
    </row>
    <row r="558" spans="1:7">
      <c r="A558" s="108" t="s">
        <v>51</v>
      </c>
      <c r="B558" s="108">
        <v>3120120010</v>
      </c>
      <c r="C558" s="108">
        <v>610</v>
      </c>
      <c r="D558" s="107" t="s">
        <v>104</v>
      </c>
      <c r="E558" s="14">
        <f>'№ 4 ведом'!F884</f>
        <v>8961</v>
      </c>
      <c r="F558" s="14">
        <f>'№ 4 ведом'!G884</f>
        <v>8999.2000000000007</v>
      </c>
      <c r="G558" s="14">
        <f>'№ 4 ведом'!H884</f>
        <v>9038.7000000000007</v>
      </c>
    </row>
    <row r="559" spans="1:7" ht="31.5">
      <c r="A559" s="108" t="s">
        <v>51</v>
      </c>
      <c r="B559" s="7" t="s">
        <v>800</v>
      </c>
      <c r="C559" s="108"/>
      <c r="D559" s="33" t="s">
        <v>801</v>
      </c>
      <c r="E559" s="14">
        <f>E560</f>
        <v>65.900000000000006</v>
      </c>
      <c r="F559" s="14">
        <f t="shared" ref="F559:G560" si="211">F560</f>
        <v>0</v>
      </c>
      <c r="G559" s="14">
        <f t="shared" si="211"/>
        <v>0</v>
      </c>
    </row>
    <row r="560" spans="1:7" ht="31.5">
      <c r="A560" s="108" t="s">
        <v>51</v>
      </c>
      <c r="B560" s="7" t="s">
        <v>800</v>
      </c>
      <c r="C560" s="108" t="s">
        <v>97</v>
      </c>
      <c r="D560" s="107" t="s">
        <v>98</v>
      </c>
      <c r="E560" s="14">
        <f>E561</f>
        <v>65.900000000000006</v>
      </c>
      <c r="F560" s="14">
        <f t="shared" si="211"/>
        <v>0</v>
      </c>
      <c r="G560" s="14">
        <f t="shared" si="211"/>
        <v>0</v>
      </c>
    </row>
    <row r="561" spans="1:7">
      <c r="A561" s="108" t="s">
        <v>51</v>
      </c>
      <c r="B561" s="7" t="s">
        <v>800</v>
      </c>
      <c r="C561" s="108">
        <v>610</v>
      </c>
      <c r="D561" s="107" t="s">
        <v>104</v>
      </c>
      <c r="E561" s="14">
        <f>'№ 4 ведом'!F887</f>
        <v>65.900000000000006</v>
      </c>
      <c r="F561" s="14">
        <f>'№ 4 ведом'!G887</f>
        <v>0</v>
      </c>
      <c r="G561" s="14">
        <f>'№ 4 ведом'!H887</f>
        <v>0</v>
      </c>
    </row>
    <row r="562" spans="1:7" ht="31.5">
      <c r="A562" s="108" t="s">
        <v>51</v>
      </c>
      <c r="B562" s="108">
        <v>3130000000</v>
      </c>
      <c r="C562" s="108"/>
      <c r="D562" s="107" t="s">
        <v>114</v>
      </c>
      <c r="E562" s="14">
        <f>E563+E570</f>
        <v>3759.7</v>
      </c>
      <c r="F562" s="14">
        <f t="shared" ref="F562:G562" si="212">F563+F570</f>
        <v>600</v>
      </c>
      <c r="G562" s="14">
        <f t="shared" si="212"/>
        <v>600</v>
      </c>
    </row>
    <row r="563" spans="1:7" ht="31.5">
      <c r="A563" s="108" t="s">
        <v>51</v>
      </c>
      <c r="B563" s="108">
        <v>3130100000</v>
      </c>
      <c r="C563" s="108"/>
      <c r="D563" s="107" t="s">
        <v>204</v>
      </c>
      <c r="E563" s="14">
        <f>E567+E564</f>
        <v>660</v>
      </c>
      <c r="F563" s="14">
        <f t="shared" ref="F563:G563" si="213">F567+F564</f>
        <v>600</v>
      </c>
      <c r="G563" s="14">
        <f t="shared" si="213"/>
        <v>600</v>
      </c>
    </row>
    <row r="564" spans="1:7" ht="31.5">
      <c r="A564" s="108" t="s">
        <v>51</v>
      </c>
      <c r="B564" s="108">
        <v>3130121080</v>
      </c>
      <c r="C564" s="108"/>
      <c r="D564" s="107" t="s">
        <v>321</v>
      </c>
      <c r="E564" s="14">
        <f>E565</f>
        <v>60</v>
      </c>
      <c r="F564" s="14">
        <f t="shared" ref="F564:G565" si="214">F565</f>
        <v>0</v>
      </c>
      <c r="G564" s="14">
        <f t="shared" si="214"/>
        <v>0</v>
      </c>
    </row>
    <row r="565" spans="1:7" ht="31.5">
      <c r="A565" s="108" t="s">
        <v>51</v>
      </c>
      <c r="B565" s="108">
        <v>3130121080</v>
      </c>
      <c r="C565" s="108" t="s">
        <v>97</v>
      </c>
      <c r="D565" s="107" t="s">
        <v>98</v>
      </c>
      <c r="E565" s="14">
        <f>E566</f>
        <v>60</v>
      </c>
      <c r="F565" s="14">
        <f t="shared" si="214"/>
        <v>0</v>
      </c>
      <c r="G565" s="14">
        <f t="shared" si="214"/>
        <v>0</v>
      </c>
    </row>
    <row r="566" spans="1:7">
      <c r="A566" s="108" t="s">
        <v>51</v>
      </c>
      <c r="B566" s="108">
        <v>3130121080</v>
      </c>
      <c r="C566" s="108">
        <v>610</v>
      </c>
      <c r="D566" s="107" t="s">
        <v>104</v>
      </c>
      <c r="E566" s="14">
        <f>'№ 4 ведом'!F892</f>
        <v>60</v>
      </c>
      <c r="F566" s="14">
        <f>'№ 4 ведом'!G892</f>
        <v>0</v>
      </c>
      <c r="G566" s="14">
        <f>'№ 4 ведом'!H892</f>
        <v>0</v>
      </c>
    </row>
    <row r="567" spans="1:7" ht="31.5">
      <c r="A567" s="108" t="s">
        <v>51</v>
      </c>
      <c r="B567" s="108" t="s">
        <v>361</v>
      </c>
      <c r="C567" s="108"/>
      <c r="D567" s="107" t="s">
        <v>321</v>
      </c>
      <c r="E567" s="14">
        <f>E568</f>
        <v>600</v>
      </c>
      <c r="F567" s="14">
        <f t="shared" ref="F567:G568" si="215">F568</f>
        <v>600</v>
      </c>
      <c r="G567" s="14">
        <f t="shared" si="215"/>
        <v>600</v>
      </c>
    </row>
    <row r="568" spans="1:7" ht="31.5">
      <c r="A568" s="108" t="s">
        <v>51</v>
      </c>
      <c r="B568" s="108" t="s">
        <v>361</v>
      </c>
      <c r="C568" s="108" t="s">
        <v>97</v>
      </c>
      <c r="D568" s="107" t="s">
        <v>98</v>
      </c>
      <c r="E568" s="14">
        <f>E569</f>
        <v>600</v>
      </c>
      <c r="F568" s="14">
        <f t="shared" si="215"/>
        <v>600</v>
      </c>
      <c r="G568" s="14">
        <f t="shared" si="215"/>
        <v>600</v>
      </c>
    </row>
    <row r="569" spans="1:7">
      <c r="A569" s="108" t="s">
        <v>51</v>
      </c>
      <c r="B569" s="108" t="s">
        <v>361</v>
      </c>
      <c r="C569" s="108">
        <v>610</v>
      </c>
      <c r="D569" s="107" t="s">
        <v>104</v>
      </c>
      <c r="E569" s="14">
        <f>'№ 4 ведом'!F895</f>
        <v>600</v>
      </c>
      <c r="F569" s="14">
        <f>'№ 4 ведом'!G895</f>
        <v>600</v>
      </c>
      <c r="G569" s="14">
        <f>'№ 4 ведом'!H895</f>
        <v>600</v>
      </c>
    </row>
    <row r="570" spans="1:7" ht="47.25">
      <c r="A570" s="108" t="s">
        <v>51</v>
      </c>
      <c r="B570" s="108">
        <v>3130300000</v>
      </c>
      <c r="C570" s="30"/>
      <c r="D570" s="107" t="s">
        <v>115</v>
      </c>
      <c r="E570" s="14">
        <f>E571</f>
        <v>3099.7</v>
      </c>
      <c r="F570" s="14">
        <f t="shared" ref="F570:G572" si="216">F571</f>
        <v>0</v>
      </c>
      <c r="G570" s="14">
        <f t="shared" si="216"/>
        <v>0</v>
      </c>
    </row>
    <row r="571" spans="1:7" ht="31.5">
      <c r="A571" s="108" t="s">
        <v>51</v>
      </c>
      <c r="B571" s="108">
        <v>3130320280</v>
      </c>
      <c r="C571" s="30"/>
      <c r="D571" s="107" t="s">
        <v>116</v>
      </c>
      <c r="E571" s="14">
        <f>E572</f>
        <v>3099.7</v>
      </c>
      <c r="F571" s="14">
        <f t="shared" si="216"/>
        <v>0</v>
      </c>
      <c r="G571" s="14">
        <f t="shared" si="216"/>
        <v>0</v>
      </c>
    </row>
    <row r="572" spans="1:7" ht="31.5">
      <c r="A572" s="108" t="s">
        <v>51</v>
      </c>
      <c r="B572" s="108">
        <v>3130320280</v>
      </c>
      <c r="C572" s="108" t="s">
        <v>97</v>
      </c>
      <c r="D572" s="107" t="s">
        <v>98</v>
      </c>
      <c r="E572" s="14">
        <f>E573</f>
        <v>3099.7</v>
      </c>
      <c r="F572" s="14">
        <f t="shared" si="216"/>
        <v>0</v>
      </c>
      <c r="G572" s="14">
        <f t="shared" si="216"/>
        <v>0</v>
      </c>
    </row>
    <row r="573" spans="1:7">
      <c r="A573" s="108" t="s">
        <v>51</v>
      </c>
      <c r="B573" s="108">
        <v>3130320280</v>
      </c>
      <c r="C573" s="108">
        <v>610</v>
      </c>
      <c r="D573" s="107" t="s">
        <v>104</v>
      </c>
      <c r="E573" s="14">
        <f>'№ 4 ведом'!F899</f>
        <v>3099.7</v>
      </c>
      <c r="F573" s="14">
        <f>'№ 4 ведом'!G899</f>
        <v>0</v>
      </c>
      <c r="G573" s="14">
        <f>'№ 4 ведом'!H899</f>
        <v>0</v>
      </c>
    </row>
    <row r="574" spans="1:7" ht="31.5">
      <c r="A574" s="108" t="s">
        <v>51</v>
      </c>
      <c r="B574" s="108">
        <v>3500000000</v>
      </c>
      <c r="C574" s="108"/>
      <c r="D574" s="30" t="s">
        <v>330</v>
      </c>
      <c r="E574" s="14">
        <f>E575</f>
        <v>4511.6000000000004</v>
      </c>
      <c r="F574" s="14">
        <f t="shared" ref="F574:G574" si="217">F575</f>
        <v>3838</v>
      </c>
      <c r="G574" s="14">
        <f t="shared" si="217"/>
        <v>3838</v>
      </c>
    </row>
    <row r="575" spans="1:7" ht="31.5">
      <c r="A575" s="108" t="s">
        <v>51</v>
      </c>
      <c r="B575" s="108">
        <v>3520000000</v>
      </c>
      <c r="C575" s="108"/>
      <c r="D575" s="30" t="s">
        <v>224</v>
      </c>
      <c r="E575" s="14">
        <f>E576+E580+E584</f>
        <v>4511.6000000000004</v>
      </c>
      <c r="F575" s="14">
        <f t="shared" ref="F575:G575" si="218">F576+F580+F584</f>
        <v>3838</v>
      </c>
      <c r="G575" s="14">
        <f t="shared" si="218"/>
        <v>3838</v>
      </c>
    </row>
    <row r="576" spans="1:7" ht="31.5">
      <c r="A576" s="108" t="s">
        <v>51</v>
      </c>
      <c r="B576" s="108">
        <v>3520300000</v>
      </c>
      <c r="C576" s="108"/>
      <c r="D576" s="30" t="s">
        <v>264</v>
      </c>
      <c r="E576" s="14">
        <f>E577</f>
        <v>1354.6000000000001</v>
      </c>
      <c r="F576" s="14">
        <f t="shared" ref="F576:G576" si="219">F577</f>
        <v>1322.7</v>
      </c>
      <c r="G576" s="14">
        <f t="shared" si="219"/>
        <v>1322.7</v>
      </c>
    </row>
    <row r="577" spans="1:7">
      <c r="A577" s="108" t="s">
        <v>51</v>
      </c>
      <c r="B577" s="108">
        <v>3520320300</v>
      </c>
      <c r="C577" s="108"/>
      <c r="D577" s="30" t="s">
        <v>265</v>
      </c>
      <c r="E577" s="14">
        <f>E578</f>
        <v>1354.6000000000001</v>
      </c>
      <c r="F577" s="14">
        <f t="shared" ref="F577:G578" si="220">F578</f>
        <v>1322.7</v>
      </c>
      <c r="G577" s="14">
        <f t="shared" si="220"/>
        <v>1322.7</v>
      </c>
    </row>
    <row r="578" spans="1:7" ht="31.5">
      <c r="A578" s="108" t="s">
        <v>51</v>
      </c>
      <c r="B578" s="108">
        <v>3520320300</v>
      </c>
      <c r="C578" s="108" t="s">
        <v>97</v>
      </c>
      <c r="D578" s="30" t="s">
        <v>98</v>
      </c>
      <c r="E578" s="14">
        <f>E579</f>
        <v>1354.6000000000001</v>
      </c>
      <c r="F578" s="14">
        <f t="shared" si="220"/>
        <v>1322.7</v>
      </c>
      <c r="G578" s="14">
        <f t="shared" si="220"/>
        <v>1322.7</v>
      </c>
    </row>
    <row r="579" spans="1:7">
      <c r="A579" s="108" t="s">
        <v>51</v>
      </c>
      <c r="B579" s="108">
        <v>3520320300</v>
      </c>
      <c r="C579" s="108">
        <v>610</v>
      </c>
      <c r="D579" s="30" t="s">
        <v>104</v>
      </c>
      <c r="E579" s="14">
        <f>'№ 4 ведом'!F905</f>
        <v>1354.6000000000001</v>
      </c>
      <c r="F579" s="14">
        <f>'№ 4 ведом'!G905</f>
        <v>1322.7</v>
      </c>
      <c r="G579" s="14">
        <f>'№ 4 ведом'!H905</f>
        <v>1322.7</v>
      </c>
    </row>
    <row r="580" spans="1:7" ht="31.5">
      <c r="A580" s="108" t="s">
        <v>51</v>
      </c>
      <c r="B580" s="108">
        <v>3520400000</v>
      </c>
      <c r="C580" s="108"/>
      <c r="D580" s="107" t="s">
        <v>270</v>
      </c>
      <c r="E580" s="14">
        <f>E581</f>
        <v>1361.1000000000001</v>
      </c>
      <c r="F580" s="14">
        <f t="shared" ref="F580:G582" si="221">F581</f>
        <v>976.5</v>
      </c>
      <c r="G580" s="14">
        <f t="shared" si="221"/>
        <v>976.5</v>
      </c>
    </row>
    <row r="581" spans="1:7">
      <c r="A581" s="108" t="s">
        <v>51</v>
      </c>
      <c r="B581" s="108">
        <v>3520420300</v>
      </c>
      <c r="C581" s="108"/>
      <c r="D581" s="107" t="s">
        <v>271</v>
      </c>
      <c r="E581" s="14">
        <f>E582</f>
        <v>1361.1000000000001</v>
      </c>
      <c r="F581" s="14">
        <f t="shared" si="221"/>
        <v>976.5</v>
      </c>
      <c r="G581" s="14">
        <f t="shared" si="221"/>
        <v>976.5</v>
      </c>
    </row>
    <row r="582" spans="1:7" ht="31.5">
      <c r="A582" s="108" t="s">
        <v>51</v>
      </c>
      <c r="B582" s="108">
        <v>3520420300</v>
      </c>
      <c r="C582" s="108" t="s">
        <v>97</v>
      </c>
      <c r="D582" s="30" t="s">
        <v>98</v>
      </c>
      <c r="E582" s="14">
        <f>E583</f>
        <v>1361.1000000000001</v>
      </c>
      <c r="F582" s="14">
        <f t="shared" si="221"/>
        <v>976.5</v>
      </c>
      <c r="G582" s="14">
        <f t="shared" si="221"/>
        <v>976.5</v>
      </c>
    </row>
    <row r="583" spans="1:7">
      <c r="A583" s="108" t="s">
        <v>51</v>
      </c>
      <c r="B583" s="108">
        <v>3520420300</v>
      </c>
      <c r="C583" s="108">
        <v>610</v>
      </c>
      <c r="D583" s="30" t="s">
        <v>104</v>
      </c>
      <c r="E583" s="14">
        <f>'№ 4 ведом'!F906</f>
        <v>1361.1000000000001</v>
      </c>
      <c r="F583" s="14">
        <f>'№ 4 ведом'!G906</f>
        <v>976.5</v>
      </c>
      <c r="G583" s="14">
        <f>'№ 4 ведом'!H906</f>
        <v>976.5</v>
      </c>
    </row>
    <row r="584" spans="1:7" ht="31.5">
      <c r="A584" s="108" t="s">
        <v>51</v>
      </c>
      <c r="B584" s="108">
        <v>3520500000</v>
      </c>
      <c r="C584" s="108"/>
      <c r="D584" s="107" t="s">
        <v>269</v>
      </c>
      <c r="E584" s="14">
        <f>E585</f>
        <v>1795.9</v>
      </c>
      <c r="F584" s="14">
        <f t="shared" ref="F584:G586" si="222">F585</f>
        <v>1538.8</v>
      </c>
      <c r="G584" s="14">
        <f t="shared" si="222"/>
        <v>1538.8</v>
      </c>
    </row>
    <row r="585" spans="1:7">
      <c r="A585" s="108" t="s">
        <v>51</v>
      </c>
      <c r="B585" s="108">
        <v>3520520200</v>
      </c>
      <c r="C585" s="108"/>
      <c r="D585" s="107" t="s">
        <v>252</v>
      </c>
      <c r="E585" s="14">
        <f>E586</f>
        <v>1795.9</v>
      </c>
      <c r="F585" s="14">
        <f t="shared" si="222"/>
        <v>1538.8</v>
      </c>
      <c r="G585" s="14">
        <f t="shared" si="222"/>
        <v>1538.8</v>
      </c>
    </row>
    <row r="586" spans="1:7" ht="31.5">
      <c r="A586" s="108" t="s">
        <v>51</v>
      </c>
      <c r="B586" s="108">
        <v>3520520200</v>
      </c>
      <c r="C586" s="108" t="s">
        <v>97</v>
      </c>
      <c r="D586" s="30" t="s">
        <v>98</v>
      </c>
      <c r="E586" s="14">
        <f>E587</f>
        <v>1795.9</v>
      </c>
      <c r="F586" s="14">
        <f t="shared" si="222"/>
        <v>1538.8</v>
      </c>
      <c r="G586" s="14">
        <f t="shared" si="222"/>
        <v>1538.8</v>
      </c>
    </row>
    <row r="587" spans="1:7">
      <c r="A587" s="108" t="s">
        <v>51</v>
      </c>
      <c r="B587" s="108">
        <v>3520520200</v>
      </c>
      <c r="C587" s="108">
        <v>610</v>
      </c>
      <c r="D587" s="30" t="s">
        <v>104</v>
      </c>
      <c r="E587" s="14">
        <f>'№ 4 ведом'!F913</f>
        <v>1795.9</v>
      </c>
      <c r="F587" s="14">
        <f>'№ 4 ведом'!G913</f>
        <v>1538.8</v>
      </c>
      <c r="G587" s="14">
        <f>'№ 4 ведом'!H913</f>
        <v>1538.8</v>
      </c>
    </row>
    <row r="588" spans="1:7">
      <c r="A588" s="108" t="s">
        <v>51</v>
      </c>
      <c r="B588" s="108">
        <v>9900000000</v>
      </c>
      <c r="C588" s="108"/>
      <c r="D588" s="30" t="s">
        <v>105</v>
      </c>
      <c r="E588" s="14">
        <f>E589+E593</f>
        <v>910.9</v>
      </c>
      <c r="F588" s="14">
        <f t="shared" ref="F588:G588" si="223">F589+F593</f>
        <v>0</v>
      </c>
      <c r="G588" s="14">
        <f t="shared" si="223"/>
        <v>0</v>
      </c>
    </row>
    <row r="589" spans="1:7" ht="47.25">
      <c r="A589" s="108" t="s">
        <v>51</v>
      </c>
      <c r="B589" s="108">
        <v>9920000000</v>
      </c>
      <c r="C589" s="108"/>
      <c r="D589" s="30" t="s">
        <v>430</v>
      </c>
      <c r="E589" s="14">
        <f>E590</f>
        <v>740</v>
      </c>
      <c r="F589" s="14">
        <f t="shared" ref="F589:G591" si="224">F590</f>
        <v>0</v>
      </c>
      <c r="G589" s="14">
        <f t="shared" si="224"/>
        <v>0</v>
      </c>
    </row>
    <row r="590" spans="1:7" ht="47.25">
      <c r="A590" s="108" t="s">
        <v>51</v>
      </c>
      <c r="B590" s="108" t="s">
        <v>431</v>
      </c>
      <c r="C590" s="108"/>
      <c r="D590" s="30" t="s">
        <v>432</v>
      </c>
      <c r="E590" s="14">
        <f>E591</f>
        <v>740</v>
      </c>
      <c r="F590" s="14">
        <f t="shared" si="224"/>
        <v>0</v>
      </c>
      <c r="G590" s="14">
        <f t="shared" si="224"/>
        <v>0</v>
      </c>
    </row>
    <row r="591" spans="1:7" ht="31.5">
      <c r="A591" s="108" t="s">
        <v>51</v>
      </c>
      <c r="B591" s="108" t="s">
        <v>431</v>
      </c>
      <c r="C591" s="108" t="s">
        <v>97</v>
      </c>
      <c r="D591" s="30" t="s">
        <v>98</v>
      </c>
      <c r="E591" s="14">
        <f>E592</f>
        <v>740</v>
      </c>
      <c r="F591" s="14">
        <f t="shared" si="224"/>
        <v>0</v>
      </c>
      <c r="G591" s="14">
        <f t="shared" si="224"/>
        <v>0</v>
      </c>
    </row>
    <row r="592" spans="1:7">
      <c r="A592" s="108" t="s">
        <v>51</v>
      </c>
      <c r="B592" s="108" t="s">
        <v>431</v>
      </c>
      <c r="C592" s="108">
        <v>610</v>
      </c>
      <c r="D592" s="30" t="s">
        <v>104</v>
      </c>
      <c r="E592" s="14">
        <f>'№ 4 ведом'!F918</f>
        <v>740</v>
      </c>
      <c r="F592" s="14">
        <f>'№ 4 ведом'!G918</f>
        <v>0</v>
      </c>
      <c r="G592" s="14">
        <f>'№ 4 ведом'!H918</f>
        <v>0</v>
      </c>
    </row>
    <row r="593" spans="1:7" ht="31.5">
      <c r="A593" s="58" t="s">
        <v>51</v>
      </c>
      <c r="B593" s="108">
        <v>9930000000</v>
      </c>
      <c r="C593" s="108"/>
      <c r="D593" s="107" t="s">
        <v>154</v>
      </c>
      <c r="E593" s="14">
        <f>E594</f>
        <v>170.9</v>
      </c>
      <c r="F593" s="14">
        <f t="shared" ref="F593:G595" si="225">F594</f>
        <v>0</v>
      </c>
      <c r="G593" s="14">
        <f t="shared" si="225"/>
        <v>0</v>
      </c>
    </row>
    <row r="594" spans="1:7" ht="31.5">
      <c r="A594" s="108" t="s">
        <v>51</v>
      </c>
      <c r="B594" s="108">
        <v>9930020490</v>
      </c>
      <c r="C594" s="108"/>
      <c r="D594" s="30" t="s">
        <v>438</v>
      </c>
      <c r="E594" s="14">
        <f>E595</f>
        <v>170.9</v>
      </c>
      <c r="F594" s="14">
        <f t="shared" si="225"/>
        <v>0</v>
      </c>
      <c r="G594" s="14">
        <f t="shared" si="225"/>
        <v>0</v>
      </c>
    </row>
    <row r="595" spans="1:7">
      <c r="A595" s="108" t="s">
        <v>51</v>
      </c>
      <c r="B595" s="108">
        <v>9930020490</v>
      </c>
      <c r="C595" s="8" t="s">
        <v>70</v>
      </c>
      <c r="D595" s="22" t="s">
        <v>71</v>
      </c>
      <c r="E595" s="14">
        <f>E596</f>
        <v>170.9</v>
      </c>
      <c r="F595" s="14">
        <f t="shared" si="225"/>
        <v>0</v>
      </c>
      <c r="G595" s="14">
        <f t="shared" si="225"/>
        <v>0</v>
      </c>
    </row>
    <row r="596" spans="1:7">
      <c r="A596" s="108" t="s">
        <v>51</v>
      </c>
      <c r="B596" s="108">
        <v>9930020490</v>
      </c>
      <c r="C596" s="108">
        <v>830</v>
      </c>
      <c r="D596" s="65" t="s">
        <v>446</v>
      </c>
      <c r="E596" s="14">
        <f>'№ 4 ведом'!F401</f>
        <v>170.9</v>
      </c>
      <c r="F596" s="14">
        <f>'№ 4 ведом'!G401</f>
        <v>0</v>
      </c>
      <c r="G596" s="14">
        <f>'№ 4 ведом'!H401</f>
        <v>0</v>
      </c>
    </row>
    <row r="597" spans="1:7">
      <c r="A597" s="108" t="s">
        <v>90</v>
      </c>
      <c r="B597" s="108" t="s">
        <v>66</v>
      </c>
      <c r="C597" s="108" t="s">
        <v>66</v>
      </c>
      <c r="D597" s="107" t="s">
        <v>91</v>
      </c>
      <c r="E597" s="14">
        <f>E598+E620</f>
        <v>50037.100000000006</v>
      </c>
      <c r="F597" s="14">
        <f>F598+F620</f>
        <v>50542.7</v>
      </c>
      <c r="G597" s="14">
        <f>G598+G620</f>
        <v>50832</v>
      </c>
    </row>
    <row r="598" spans="1:7" ht="47.25">
      <c r="A598" s="108" t="s">
        <v>90</v>
      </c>
      <c r="B598" s="108">
        <v>3100000000</v>
      </c>
      <c r="C598" s="108"/>
      <c r="D598" s="107" t="s">
        <v>328</v>
      </c>
      <c r="E598" s="14">
        <f>E599</f>
        <v>48762.3</v>
      </c>
      <c r="F598" s="14">
        <f t="shared" ref="F598:G598" si="226">F599</f>
        <v>49527.199999999997</v>
      </c>
      <c r="G598" s="14">
        <f t="shared" si="226"/>
        <v>49816.5</v>
      </c>
    </row>
    <row r="599" spans="1:7">
      <c r="A599" s="108" t="s">
        <v>90</v>
      </c>
      <c r="B599" s="108">
        <v>3120000000</v>
      </c>
      <c r="C599" s="108"/>
      <c r="D599" s="107" t="s">
        <v>121</v>
      </c>
      <c r="E599" s="14">
        <f>E600+E613</f>
        <v>48762.3</v>
      </c>
      <c r="F599" s="14">
        <f>F600+F613</f>
        <v>49527.199999999997</v>
      </c>
      <c r="G599" s="14">
        <f>G600+G613</f>
        <v>49816.5</v>
      </c>
    </row>
    <row r="600" spans="1:7" ht="47.25">
      <c r="A600" s="108" t="s">
        <v>90</v>
      </c>
      <c r="B600" s="108">
        <v>3120100000</v>
      </c>
      <c r="C600" s="108"/>
      <c r="D600" s="107" t="s">
        <v>122</v>
      </c>
      <c r="E600" s="14">
        <f>E601+E604+E607+E610</f>
        <v>48476.600000000006</v>
      </c>
      <c r="F600" s="14">
        <f t="shared" ref="F600:G600" si="227">F601+F604+F607+F610</f>
        <v>49527.199999999997</v>
      </c>
      <c r="G600" s="14">
        <f t="shared" si="227"/>
        <v>49816.5</v>
      </c>
    </row>
    <row r="601" spans="1:7" ht="31.5">
      <c r="A601" s="108" t="s">
        <v>90</v>
      </c>
      <c r="B601" s="108">
        <v>3120120010</v>
      </c>
      <c r="C601" s="108"/>
      <c r="D601" s="107" t="s">
        <v>123</v>
      </c>
      <c r="E601" s="14">
        <f>E602</f>
        <v>20919.8</v>
      </c>
      <c r="F601" s="14">
        <f t="shared" ref="F601:G602" si="228">F602</f>
        <v>22283.200000000001</v>
      </c>
      <c r="G601" s="14">
        <f t="shared" si="228"/>
        <v>22572.5</v>
      </c>
    </row>
    <row r="602" spans="1:7" ht="31.5">
      <c r="A602" s="108" t="s">
        <v>90</v>
      </c>
      <c r="B602" s="108">
        <v>3120120010</v>
      </c>
      <c r="C602" s="108" t="s">
        <v>97</v>
      </c>
      <c r="D602" s="107" t="s">
        <v>98</v>
      </c>
      <c r="E602" s="14">
        <f>E603</f>
        <v>20919.8</v>
      </c>
      <c r="F602" s="14">
        <f t="shared" si="228"/>
        <v>22283.200000000001</v>
      </c>
      <c r="G602" s="14">
        <f t="shared" si="228"/>
        <v>22572.5</v>
      </c>
    </row>
    <row r="603" spans="1:7">
      <c r="A603" s="108" t="s">
        <v>90</v>
      </c>
      <c r="B603" s="108">
        <v>3120120010</v>
      </c>
      <c r="C603" s="108">
        <v>610</v>
      </c>
      <c r="D603" s="107" t="s">
        <v>104</v>
      </c>
      <c r="E603" s="14">
        <f>'№ 4 ведом'!F408+'№ 4 ведом'!F925</f>
        <v>20919.8</v>
      </c>
      <c r="F603" s="14">
        <f>'№ 4 ведом'!G408+'№ 4 ведом'!G925</f>
        <v>22283.200000000001</v>
      </c>
      <c r="G603" s="14">
        <f>'№ 4 ведом'!H408+'№ 4 ведом'!H925</f>
        <v>22572.5</v>
      </c>
    </row>
    <row r="604" spans="1:7" ht="31.5">
      <c r="A604" s="108" t="s">
        <v>90</v>
      </c>
      <c r="B604" s="108">
        <v>3120120020</v>
      </c>
      <c r="C604" s="108"/>
      <c r="D604" s="107" t="s">
        <v>273</v>
      </c>
      <c r="E604" s="14">
        <f>E605</f>
        <v>1778.8000000000002</v>
      </c>
      <c r="F604" s="14">
        <f t="shared" ref="F604:G605" si="229">F605</f>
        <v>1778.8000000000002</v>
      </c>
      <c r="G604" s="14">
        <f t="shared" si="229"/>
        <v>1778.8000000000002</v>
      </c>
    </row>
    <row r="605" spans="1:7" ht="31.5">
      <c r="A605" s="108" t="s">
        <v>90</v>
      </c>
      <c r="B605" s="108">
        <v>3120120020</v>
      </c>
      <c r="C605" s="108" t="s">
        <v>97</v>
      </c>
      <c r="D605" s="107" t="s">
        <v>98</v>
      </c>
      <c r="E605" s="14">
        <f>E606</f>
        <v>1778.8000000000002</v>
      </c>
      <c r="F605" s="14">
        <f t="shared" si="229"/>
        <v>1778.8000000000002</v>
      </c>
      <c r="G605" s="14">
        <f t="shared" si="229"/>
        <v>1778.8000000000002</v>
      </c>
    </row>
    <row r="606" spans="1:7">
      <c r="A606" s="108" t="s">
        <v>90</v>
      </c>
      <c r="B606" s="108">
        <v>3120120020</v>
      </c>
      <c r="C606" s="108">
        <v>610</v>
      </c>
      <c r="D606" s="107" t="s">
        <v>104</v>
      </c>
      <c r="E606" s="14">
        <f>'№ 4 ведом'!F928</f>
        <v>1778.8000000000002</v>
      </c>
      <c r="F606" s="14">
        <f>'№ 4 ведом'!G928</f>
        <v>1778.8000000000002</v>
      </c>
      <c r="G606" s="14">
        <f>'№ 4 ведом'!H928</f>
        <v>1778.8000000000002</v>
      </c>
    </row>
    <row r="607" spans="1:7" ht="47.25">
      <c r="A607" s="108" t="s">
        <v>90</v>
      </c>
      <c r="B607" s="108" t="s">
        <v>345</v>
      </c>
      <c r="C607" s="108"/>
      <c r="D607" s="30" t="s">
        <v>369</v>
      </c>
      <c r="E607" s="14">
        <f>E608</f>
        <v>25465.200000000001</v>
      </c>
      <c r="F607" s="14">
        <f t="shared" ref="F607:G608" si="230">F608</f>
        <v>25465.200000000001</v>
      </c>
      <c r="G607" s="14">
        <f t="shared" si="230"/>
        <v>25465.200000000001</v>
      </c>
    </row>
    <row r="608" spans="1:7" ht="31.5">
      <c r="A608" s="108" t="s">
        <v>90</v>
      </c>
      <c r="B608" s="108" t="s">
        <v>345</v>
      </c>
      <c r="C608" s="108" t="s">
        <v>97</v>
      </c>
      <c r="D608" s="30" t="s">
        <v>98</v>
      </c>
      <c r="E608" s="14">
        <f>E609</f>
        <v>25465.200000000001</v>
      </c>
      <c r="F608" s="14">
        <f t="shared" si="230"/>
        <v>25465.200000000001</v>
      </c>
      <c r="G608" s="14">
        <f t="shared" si="230"/>
        <v>25465.200000000001</v>
      </c>
    </row>
    <row r="609" spans="1:7">
      <c r="A609" s="108" t="s">
        <v>90</v>
      </c>
      <c r="B609" s="108" t="s">
        <v>345</v>
      </c>
      <c r="C609" s="108">
        <v>610</v>
      </c>
      <c r="D609" s="30" t="s">
        <v>104</v>
      </c>
      <c r="E609" s="14">
        <f>'№ 4 ведом'!F931+'№ 4 ведом'!F411</f>
        <v>25465.200000000001</v>
      </c>
      <c r="F609" s="14">
        <f>'№ 4 ведом'!G931+'№ 4 ведом'!G411</f>
        <v>25465.200000000001</v>
      </c>
      <c r="G609" s="14">
        <f>'№ 4 ведом'!H931+'№ 4 ведом'!H411</f>
        <v>25465.200000000001</v>
      </c>
    </row>
    <row r="610" spans="1:7" ht="31.5">
      <c r="A610" s="108" t="s">
        <v>90</v>
      </c>
      <c r="B610" s="108" t="s">
        <v>800</v>
      </c>
      <c r="C610" s="108"/>
      <c r="D610" s="30" t="s">
        <v>801</v>
      </c>
      <c r="E610" s="14">
        <f>E611</f>
        <v>312.79999999999995</v>
      </c>
      <c r="F610" s="14">
        <f t="shared" ref="F610:G611" si="231">F611</f>
        <v>0</v>
      </c>
      <c r="G610" s="14">
        <f t="shared" si="231"/>
        <v>0</v>
      </c>
    </row>
    <row r="611" spans="1:7" ht="31.5">
      <c r="A611" s="108" t="s">
        <v>90</v>
      </c>
      <c r="B611" s="108" t="s">
        <v>800</v>
      </c>
      <c r="C611" s="108" t="s">
        <v>97</v>
      </c>
      <c r="D611" s="30" t="s">
        <v>98</v>
      </c>
      <c r="E611" s="14">
        <f>E612</f>
        <v>312.79999999999995</v>
      </c>
      <c r="F611" s="14">
        <f t="shared" si="231"/>
        <v>0</v>
      </c>
      <c r="G611" s="14">
        <f t="shared" si="231"/>
        <v>0</v>
      </c>
    </row>
    <row r="612" spans="1:7">
      <c r="A612" s="108" t="s">
        <v>90</v>
      </c>
      <c r="B612" s="108" t="s">
        <v>800</v>
      </c>
      <c r="C612" s="108">
        <v>610</v>
      </c>
      <c r="D612" s="30" t="s">
        <v>104</v>
      </c>
      <c r="E612" s="14">
        <f>'№ 4 ведом'!F414+'№ 4 ведом'!F934</f>
        <v>312.79999999999995</v>
      </c>
      <c r="F612" s="14">
        <f>'№ 4 ведом'!G414+'№ 4 ведом'!G934</f>
        <v>0</v>
      </c>
      <c r="G612" s="14">
        <f>'№ 4 ведом'!H414+'№ 4 ведом'!H934</f>
        <v>0</v>
      </c>
    </row>
    <row r="613" spans="1:7" ht="47.25">
      <c r="A613" s="108" t="s">
        <v>90</v>
      </c>
      <c r="B613" s="108">
        <v>3120200000</v>
      </c>
      <c r="C613" s="108"/>
      <c r="D613" s="30" t="s">
        <v>441</v>
      </c>
      <c r="E613" s="14">
        <f>E617+E614</f>
        <v>285.7</v>
      </c>
      <c r="F613" s="14">
        <f>F617+F614</f>
        <v>0</v>
      </c>
      <c r="G613" s="14">
        <f>G617+G614</f>
        <v>0</v>
      </c>
    </row>
    <row r="614" spans="1:7" ht="31.5">
      <c r="A614" s="108" t="s">
        <v>90</v>
      </c>
      <c r="B614" s="108">
        <v>3120220020</v>
      </c>
      <c r="C614" s="108"/>
      <c r="D614" s="30" t="s">
        <v>282</v>
      </c>
      <c r="E614" s="14">
        <f>E615</f>
        <v>13.2</v>
      </c>
      <c r="F614" s="14">
        <f t="shared" ref="F614:G615" si="232">F615</f>
        <v>0</v>
      </c>
      <c r="G614" s="14">
        <f t="shared" si="232"/>
        <v>0</v>
      </c>
    </row>
    <row r="615" spans="1:7" ht="31.5">
      <c r="A615" s="108" t="s">
        <v>90</v>
      </c>
      <c r="B615" s="108">
        <v>3120220020</v>
      </c>
      <c r="C615" s="108" t="s">
        <v>97</v>
      </c>
      <c r="D615" s="30" t="s">
        <v>98</v>
      </c>
      <c r="E615" s="14">
        <f>E616</f>
        <v>13.2</v>
      </c>
      <c r="F615" s="14">
        <f t="shared" si="232"/>
        <v>0</v>
      </c>
      <c r="G615" s="14">
        <f t="shared" si="232"/>
        <v>0</v>
      </c>
    </row>
    <row r="616" spans="1:7">
      <c r="A616" s="108" t="s">
        <v>90</v>
      </c>
      <c r="B616" s="108">
        <v>3120220020</v>
      </c>
      <c r="C616" s="108">
        <v>610</v>
      </c>
      <c r="D616" s="30" t="s">
        <v>104</v>
      </c>
      <c r="E616" s="14">
        <f>'№ 4 ведом'!F938</f>
        <v>13.2</v>
      </c>
      <c r="F616" s="14">
        <f>'№ 4 ведом'!G938</f>
        <v>0</v>
      </c>
      <c r="G616" s="14">
        <f>'№ 4 ведом'!H938</f>
        <v>0</v>
      </c>
    </row>
    <row r="617" spans="1:7" ht="31.5">
      <c r="A617" s="108" t="s">
        <v>90</v>
      </c>
      <c r="B617" s="108" t="s">
        <v>443</v>
      </c>
      <c r="C617" s="108"/>
      <c r="D617" s="30" t="s">
        <v>442</v>
      </c>
      <c r="E617" s="14">
        <f>E618</f>
        <v>272.5</v>
      </c>
      <c r="F617" s="14">
        <f t="shared" ref="F617:G618" si="233">F618</f>
        <v>0</v>
      </c>
      <c r="G617" s="14">
        <f t="shared" si="233"/>
        <v>0</v>
      </c>
    </row>
    <row r="618" spans="1:7" ht="31.5">
      <c r="A618" s="108" t="s">
        <v>90</v>
      </c>
      <c r="B618" s="108" t="s">
        <v>443</v>
      </c>
      <c r="C618" s="108" t="s">
        <v>97</v>
      </c>
      <c r="D618" s="30" t="s">
        <v>98</v>
      </c>
      <c r="E618" s="14">
        <f>E619</f>
        <v>272.5</v>
      </c>
      <c r="F618" s="14">
        <f t="shared" si="233"/>
        <v>0</v>
      </c>
      <c r="G618" s="14">
        <f t="shared" si="233"/>
        <v>0</v>
      </c>
    </row>
    <row r="619" spans="1:7">
      <c r="A619" s="108" t="s">
        <v>90</v>
      </c>
      <c r="B619" s="108" t="s">
        <v>443</v>
      </c>
      <c r="C619" s="108">
        <v>610</v>
      </c>
      <c r="D619" s="30" t="s">
        <v>104</v>
      </c>
      <c r="E619" s="14">
        <f>'№ 4 ведом'!F418</f>
        <v>272.5</v>
      </c>
      <c r="F619" s="14">
        <f>'№ 4 ведом'!G418</f>
        <v>0</v>
      </c>
      <c r="G619" s="14">
        <f>'№ 4 ведом'!H418</f>
        <v>0</v>
      </c>
    </row>
    <row r="620" spans="1:7" ht="31.5">
      <c r="A620" s="108" t="s">
        <v>90</v>
      </c>
      <c r="B620" s="108">
        <v>3500000000</v>
      </c>
      <c r="C620" s="108"/>
      <c r="D620" s="30" t="s">
        <v>330</v>
      </c>
      <c r="E620" s="14">
        <f>E621</f>
        <v>1274.8</v>
      </c>
      <c r="F620" s="14">
        <f t="shared" ref="F620:G620" si="234">F621</f>
        <v>1015.5</v>
      </c>
      <c r="G620" s="14">
        <f t="shared" si="234"/>
        <v>1015.5</v>
      </c>
    </row>
    <row r="621" spans="1:7" ht="31.5">
      <c r="A621" s="108" t="s">
        <v>90</v>
      </c>
      <c r="B621" s="108">
        <v>3520000000</v>
      </c>
      <c r="C621" s="108"/>
      <c r="D621" s="30" t="s">
        <v>224</v>
      </c>
      <c r="E621" s="14">
        <f>E622+E626+E630</f>
        <v>1274.8</v>
      </c>
      <c r="F621" s="14">
        <f t="shared" ref="F621:G621" si="235">F622+F626+F630</f>
        <v>1015.5</v>
      </c>
      <c r="G621" s="14">
        <f t="shared" si="235"/>
        <v>1015.5</v>
      </c>
    </row>
    <row r="622" spans="1:7" ht="31.5">
      <c r="A622" s="108" t="s">
        <v>90</v>
      </c>
      <c r="B622" s="108">
        <v>3520300000</v>
      </c>
      <c r="C622" s="108"/>
      <c r="D622" s="30" t="s">
        <v>264</v>
      </c>
      <c r="E622" s="14">
        <f>E623</f>
        <v>149.79999999999998</v>
      </c>
      <c r="F622" s="14">
        <f t="shared" ref="F622:G624" si="236">F623</f>
        <v>116.4</v>
      </c>
      <c r="G622" s="14">
        <f t="shared" si="236"/>
        <v>116.4</v>
      </c>
    </row>
    <row r="623" spans="1:7">
      <c r="A623" s="108" t="s">
        <v>90</v>
      </c>
      <c r="B623" s="108">
        <v>3520320300</v>
      </c>
      <c r="C623" s="108"/>
      <c r="D623" s="30" t="s">
        <v>265</v>
      </c>
      <c r="E623" s="14">
        <f>E624</f>
        <v>149.79999999999998</v>
      </c>
      <c r="F623" s="14">
        <f t="shared" si="236"/>
        <v>116.4</v>
      </c>
      <c r="G623" s="14">
        <f t="shared" si="236"/>
        <v>116.4</v>
      </c>
    </row>
    <row r="624" spans="1:7" ht="31.5">
      <c r="A624" s="108" t="s">
        <v>90</v>
      </c>
      <c r="B624" s="108">
        <v>3520320300</v>
      </c>
      <c r="C624" s="108" t="s">
        <v>97</v>
      </c>
      <c r="D624" s="30" t="s">
        <v>98</v>
      </c>
      <c r="E624" s="14">
        <f>E625</f>
        <v>149.79999999999998</v>
      </c>
      <c r="F624" s="14">
        <f t="shared" si="236"/>
        <v>116.4</v>
      </c>
      <c r="G624" s="14">
        <f t="shared" si="236"/>
        <v>116.4</v>
      </c>
    </row>
    <row r="625" spans="1:7">
      <c r="A625" s="108" t="s">
        <v>90</v>
      </c>
      <c r="B625" s="108">
        <v>3520320300</v>
      </c>
      <c r="C625" s="108">
        <v>610</v>
      </c>
      <c r="D625" s="30" t="s">
        <v>104</v>
      </c>
      <c r="E625" s="14">
        <f>'№ 4 ведом'!F944+'№ 4 ведом'!F424</f>
        <v>149.79999999999998</v>
      </c>
      <c r="F625" s="14">
        <f>'№ 4 ведом'!G944+'№ 4 ведом'!G424</f>
        <v>116.4</v>
      </c>
      <c r="G625" s="14">
        <f>'№ 4 ведом'!H944+'№ 4 ведом'!H424</f>
        <v>116.4</v>
      </c>
    </row>
    <row r="626" spans="1:7" ht="31.5">
      <c r="A626" s="108" t="s">
        <v>90</v>
      </c>
      <c r="B626" s="108">
        <v>3520400000</v>
      </c>
      <c r="C626" s="108"/>
      <c r="D626" s="107" t="s">
        <v>270</v>
      </c>
      <c r="E626" s="14">
        <f>E627</f>
        <v>186.8</v>
      </c>
      <c r="F626" s="14">
        <f t="shared" ref="F626:G628" si="237">F627</f>
        <v>144.19999999999999</v>
      </c>
      <c r="G626" s="14">
        <f t="shared" si="237"/>
        <v>144.19999999999999</v>
      </c>
    </row>
    <row r="627" spans="1:7">
      <c r="A627" s="108" t="s">
        <v>90</v>
      </c>
      <c r="B627" s="108">
        <v>3520420300</v>
      </c>
      <c r="C627" s="108"/>
      <c r="D627" s="107" t="s">
        <v>271</v>
      </c>
      <c r="E627" s="14">
        <f>E628</f>
        <v>186.8</v>
      </c>
      <c r="F627" s="14">
        <f t="shared" si="237"/>
        <v>144.19999999999999</v>
      </c>
      <c r="G627" s="14">
        <f t="shared" si="237"/>
        <v>144.19999999999999</v>
      </c>
    </row>
    <row r="628" spans="1:7" ht="31.5">
      <c r="A628" s="108" t="s">
        <v>90</v>
      </c>
      <c r="B628" s="108">
        <v>3520420300</v>
      </c>
      <c r="C628" s="108" t="s">
        <v>97</v>
      </c>
      <c r="D628" s="30" t="s">
        <v>98</v>
      </c>
      <c r="E628" s="14">
        <f>E629</f>
        <v>186.8</v>
      </c>
      <c r="F628" s="14">
        <f t="shared" si="237"/>
        <v>144.19999999999999</v>
      </c>
      <c r="G628" s="14">
        <f t="shared" si="237"/>
        <v>144.19999999999999</v>
      </c>
    </row>
    <row r="629" spans="1:7">
      <c r="A629" s="108" t="s">
        <v>90</v>
      </c>
      <c r="B629" s="108">
        <v>3520420300</v>
      </c>
      <c r="C629" s="108">
        <v>610</v>
      </c>
      <c r="D629" s="30" t="s">
        <v>104</v>
      </c>
      <c r="E629" s="14">
        <f>'№ 4 ведом'!F948+'№ 4 ведом'!F428</f>
        <v>186.8</v>
      </c>
      <c r="F629" s="14">
        <f>'№ 4 ведом'!G948+'№ 4 ведом'!G428</f>
        <v>144.19999999999999</v>
      </c>
      <c r="G629" s="14">
        <f>'№ 4 ведом'!H948+'№ 4 ведом'!H428</f>
        <v>144.19999999999999</v>
      </c>
    </row>
    <row r="630" spans="1:7" ht="31.5">
      <c r="A630" s="108" t="s">
        <v>90</v>
      </c>
      <c r="B630" s="108">
        <v>3520500000</v>
      </c>
      <c r="C630" s="108"/>
      <c r="D630" s="107" t="s">
        <v>269</v>
      </c>
      <c r="E630" s="14">
        <f>E631</f>
        <v>938.19999999999993</v>
      </c>
      <c r="F630" s="14">
        <f t="shared" ref="F630:G632" si="238">F631</f>
        <v>754.9</v>
      </c>
      <c r="G630" s="14">
        <f t="shared" si="238"/>
        <v>754.9</v>
      </c>
    </row>
    <row r="631" spans="1:7">
      <c r="A631" s="108" t="s">
        <v>90</v>
      </c>
      <c r="B631" s="108">
        <v>3520520200</v>
      </c>
      <c r="C631" s="108"/>
      <c r="D631" s="107" t="s">
        <v>252</v>
      </c>
      <c r="E631" s="14">
        <f>E632</f>
        <v>938.19999999999993</v>
      </c>
      <c r="F631" s="14">
        <f t="shared" si="238"/>
        <v>754.9</v>
      </c>
      <c r="G631" s="14">
        <f t="shared" si="238"/>
        <v>754.9</v>
      </c>
    </row>
    <row r="632" spans="1:7" ht="31.5">
      <c r="A632" s="108" t="s">
        <v>90</v>
      </c>
      <c r="B632" s="108">
        <v>3520520200</v>
      </c>
      <c r="C632" s="108" t="s">
        <v>97</v>
      </c>
      <c r="D632" s="30" t="s">
        <v>98</v>
      </c>
      <c r="E632" s="14">
        <f>E633</f>
        <v>938.19999999999993</v>
      </c>
      <c r="F632" s="14">
        <f t="shared" si="238"/>
        <v>754.9</v>
      </c>
      <c r="G632" s="14">
        <f t="shared" si="238"/>
        <v>754.9</v>
      </c>
    </row>
    <row r="633" spans="1:7">
      <c r="A633" s="108" t="s">
        <v>90</v>
      </c>
      <c r="B633" s="108">
        <v>3520520200</v>
      </c>
      <c r="C633" s="108">
        <v>610</v>
      </c>
      <c r="D633" s="30" t="s">
        <v>104</v>
      </c>
      <c r="E633" s="14">
        <f>'№ 4 ведом'!F952+'№ 4 ведом'!F432</f>
        <v>938.19999999999993</v>
      </c>
      <c r="F633" s="14">
        <f>'№ 4 ведом'!G952+'№ 4 ведом'!G432</f>
        <v>754.9</v>
      </c>
      <c r="G633" s="14">
        <f>'№ 4 ведом'!H952+'№ 4 ведом'!H432</f>
        <v>754.9</v>
      </c>
    </row>
    <row r="634" spans="1:7" ht="31.5">
      <c r="A634" s="58" t="s">
        <v>192</v>
      </c>
      <c r="B634" s="108"/>
      <c r="C634" s="108"/>
      <c r="D634" s="107" t="s">
        <v>218</v>
      </c>
      <c r="E634" s="14">
        <f t="shared" ref="E634:E639" si="239">E635</f>
        <v>150</v>
      </c>
      <c r="F634" s="14">
        <f t="shared" ref="F634:G639" si="240">F635</f>
        <v>0</v>
      </c>
      <c r="G634" s="14">
        <f t="shared" si="240"/>
        <v>0</v>
      </c>
    </row>
    <row r="635" spans="1:7" ht="47.25">
      <c r="A635" s="58" t="s">
        <v>192</v>
      </c>
      <c r="B635" s="108">
        <v>3600000000</v>
      </c>
      <c r="C635" s="108"/>
      <c r="D635" s="107" t="s">
        <v>331</v>
      </c>
      <c r="E635" s="14">
        <f t="shared" si="239"/>
        <v>150</v>
      </c>
      <c r="F635" s="14">
        <f t="shared" si="240"/>
        <v>0</v>
      </c>
      <c r="G635" s="14">
        <f t="shared" si="240"/>
        <v>0</v>
      </c>
    </row>
    <row r="636" spans="1:7" ht="47.25">
      <c r="A636" s="58" t="s">
        <v>192</v>
      </c>
      <c r="B636" s="108">
        <v>3630000000</v>
      </c>
      <c r="C636" s="1"/>
      <c r="D636" s="26" t="s">
        <v>193</v>
      </c>
      <c r="E636" s="14">
        <f t="shared" si="239"/>
        <v>150</v>
      </c>
      <c r="F636" s="14">
        <f t="shared" si="240"/>
        <v>0</v>
      </c>
      <c r="G636" s="14">
        <f t="shared" si="240"/>
        <v>0</v>
      </c>
    </row>
    <row r="637" spans="1:7" ht="31.5">
      <c r="A637" s="58" t="s">
        <v>192</v>
      </c>
      <c r="B637" s="108">
        <v>3630100000</v>
      </c>
      <c r="C637" s="108"/>
      <c r="D637" s="107" t="s">
        <v>195</v>
      </c>
      <c r="E637" s="14">
        <f t="shared" si="239"/>
        <v>150</v>
      </c>
      <c r="F637" s="14">
        <f t="shared" si="240"/>
        <v>0</v>
      </c>
      <c r="G637" s="14">
        <f t="shared" si="240"/>
        <v>0</v>
      </c>
    </row>
    <row r="638" spans="1:7">
      <c r="A638" s="58" t="s">
        <v>192</v>
      </c>
      <c r="B638" s="108">
        <v>3630120510</v>
      </c>
      <c r="C638" s="108"/>
      <c r="D638" s="107" t="s">
        <v>197</v>
      </c>
      <c r="E638" s="14">
        <f t="shared" si="239"/>
        <v>150</v>
      </c>
      <c r="F638" s="14">
        <f t="shared" si="240"/>
        <v>0</v>
      </c>
      <c r="G638" s="14">
        <f t="shared" si="240"/>
        <v>0</v>
      </c>
    </row>
    <row r="639" spans="1:7" ht="31.5">
      <c r="A639" s="58" t="s">
        <v>192</v>
      </c>
      <c r="B639" s="108">
        <v>3630120510</v>
      </c>
      <c r="C639" s="108" t="s">
        <v>69</v>
      </c>
      <c r="D639" s="107" t="s">
        <v>95</v>
      </c>
      <c r="E639" s="14">
        <f t="shared" si="239"/>
        <v>150</v>
      </c>
      <c r="F639" s="14">
        <f t="shared" si="240"/>
        <v>0</v>
      </c>
      <c r="G639" s="14">
        <f t="shared" si="240"/>
        <v>0</v>
      </c>
    </row>
    <row r="640" spans="1:7" ht="31.5">
      <c r="A640" s="58" t="s">
        <v>192</v>
      </c>
      <c r="B640" s="108">
        <v>3630120510</v>
      </c>
      <c r="C640" s="108">
        <v>240</v>
      </c>
      <c r="D640" s="107" t="s">
        <v>216</v>
      </c>
      <c r="E640" s="14">
        <f>'№ 4 ведом'!F439</f>
        <v>150</v>
      </c>
      <c r="F640" s="14">
        <f>'№ 4 ведом'!G439</f>
        <v>0</v>
      </c>
      <c r="G640" s="14">
        <f>'№ 4 ведом'!H439</f>
        <v>0</v>
      </c>
    </row>
    <row r="641" spans="1:7">
      <c r="A641" s="108" t="s">
        <v>38</v>
      </c>
      <c r="B641" s="108" t="s">
        <v>66</v>
      </c>
      <c r="C641" s="108" t="s">
        <v>66</v>
      </c>
      <c r="D641" s="107" t="s">
        <v>99</v>
      </c>
      <c r="E641" s="14">
        <f>E642+E652</f>
        <v>907.6</v>
      </c>
      <c r="F641" s="14">
        <f t="shared" ref="F641:G641" si="241">F642+F652</f>
        <v>835.30000000000007</v>
      </c>
      <c r="G641" s="14">
        <f t="shared" si="241"/>
        <v>843.1</v>
      </c>
    </row>
    <row r="642" spans="1:7" ht="47.25">
      <c r="A642" s="108" t="s">
        <v>38</v>
      </c>
      <c r="B642" s="108">
        <v>3100000000</v>
      </c>
      <c r="C642" s="108"/>
      <c r="D642" s="107" t="s">
        <v>328</v>
      </c>
      <c r="E642" s="14">
        <f>E643</f>
        <v>95.7</v>
      </c>
      <c r="F642" s="14">
        <f t="shared" ref="F642:G642" si="242">F643</f>
        <v>15.7</v>
      </c>
      <c r="G642" s="14">
        <f t="shared" si="242"/>
        <v>15.7</v>
      </c>
    </row>
    <row r="643" spans="1:7" ht="31.5">
      <c r="A643" s="108" t="s">
        <v>38</v>
      </c>
      <c r="B643" s="108">
        <v>3130000000</v>
      </c>
      <c r="C643" s="108"/>
      <c r="D643" s="107" t="s">
        <v>114</v>
      </c>
      <c r="E643" s="14">
        <f>E644+E648</f>
        <v>95.7</v>
      </c>
      <c r="F643" s="14">
        <f t="shared" ref="F643:G643" si="243">F644+F648</f>
        <v>15.7</v>
      </c>
      <c r="G643" s="14">
        <f t="shared" si="243"/>
        <v>15.7</v>
      </c>
    </row>
    <row r="644" spans="1:7" ht="31.5">
      <c r="A644" s="108" t="s">
        <v>38</v>
      </c>
      <c r="B644" s="108">
        <v>3130200000</v>
      </c>
      <c r="C644" s="108"/>
      <c r="D644" s="107" t="s">
        <v>167</v>
      </c>
      <c r="E644" s="14">
        <f>E645</f>
        <v>15.7</v>
      </c>
      <c r="F644" s="14">
        <f t="shared" ref="F644:G646" si="244">F645</f>
        <v>15.7</v>
      </c>
      <c r="G644" s="14">
        <f t="shared" si="244"/>
        <v>15.7</v>
      </c>
    </row>
    <row r="645" spans="1:7" ht="31.5">
      <c r="A645" s="108" t="s">
        <v>38</v>
      </c>
      <c r="B645" s="108">
        <v>3130220270</v>
      </c>
      <c r="C645" s="108"/>
      <c r="D645" s="107" t="s">
        <v>168</v>
      </c>
      <c r="E645" s="14">
        <f>E646</f>
        <v>15.7</v>
      </c>
      <c r="F645" s="14">
        <f t="shared" si="244"/>
        <v>15.7</v>
      </c>
      <c r="G645" s="14">
        <f t="shared" si="244"/>
        <v>15.7</v>
      </c>
    </row>
    <row r="646" spans="1:7">
      <c r="A646" s="108" t="s">
        <v>38</v>
      </c>
      <c r="B646" s="108">
        <v>3130220270</v>
      </c>
      <c r="C646" s="108" t="s">
        <v>73</v>
      </c>
      <c r="D646" s="107" t="s">
        <v>74</v>
      </c>
      <c r="E646" s="14">
        <f>E647</f>
        <v>15.7</v>
      </c>
      <c r="F646" s="14">
        <f t="shared" si="244"/>
        <v>15.7</v>
      </c>
      <c r="G646" s="14">
        <f t="shared" si="244"/>
        <v>15.7</v>
      </c>
    </row>
    <row r="647" spans="1:7">
      <c r="A647" s="108" t="s">
        <v>38</v>
      </c>
      <c r="B647" s="108">
        <v>3130220270</v>
      </c>
      <c r="C647" s="108">
        <v>350</v>
      </c>
      <c r="D647" s="107" t="s">
        <v>149</v>
      </c>
      <c r="E647" s="14">
        <f>'№ 4 ведом'!F446</f>
        <v>15.7</v>
      </c>
      <c r="F647" s="14">
        <f>'№ 4 ведом'!G446</f>
        <v>15.7</v>
      </c>
      <c r="G647" s="14">
        <f>'№ 4 ведом'!H446</f>
        <v>15.7</v>
      </c>
    </row>
    <row r="648" spans="1:7" ht="31.5">
      <c r="A648" s="108" t="s">
        <v>38</v>
      </c>
      <c r="B648" s="108">
        <v>3130400000</v>
      </c>
      <c r="C648" s="108"/>
      <c r="D648" s="107" t="s">
        <v>136</v>
      </c>
      <c r="E648" s="14">
        <f>E649</f>
        <v>80</v>
      </c>
      <c r="F648" s="14">
        <f t="shared" ref="F648:G650" si="245">F649</f>
        <v>0</v>
      </c>
      <c r="G648" s="14">
        <f t="shared" si="245"/>
        <v>0</v>
      </c>
    </row>
    <row r="649" spans="1:7" ht="31.5">
      <c r="A649" s="108" t="s">
        <v>38</v>
      </c>
      <c r="B649" s="108">
        <v>3130420290</v>
      </c>
      <c r="C649" s="108"/>
      <c r="D649" s="107" t="s">
        <v>137</v>
      </c>
      <c r="E649" s="14">
        <f>E650</f>
        <v>80</v>
      </c>
      <c r="F649" s="14">
        <f t="shared" si="245"/>
        <v>0</v>
      </c>
      <c r="G649" s="14">
        <f t="shared" si="245"/>
        <v>0</v>
      </c>
    </row>
    <row r="650" spans="1:7" ht="31.5">
      <c r="A650" s="108" t="s">
        <v>38</v>
      </c>
      <c r="B650" s="108">
        <v>3130420290</v>
      </c>
      <c r="C650" s="108" t="s">
        <v>69</v>
      </c>
      <c r="D650" s="107" t="s">
        <v>95</v>
      </c>
      <c r="E650" s="14">
        <f>E651</f>
        <v>80</v>
      </c>
      <c r="F650" s="14">
        <f t="shared" si="245"/>
        <v>0</v>
      </c>
      <c r="G650" s="14">
        <f t="shared" si="245"/>
        <v>0</v>
      </c>
    </row>
    <row r="651" spans="1:7" ht="31.5">
      <c r="A651" s="108" t="s">
        <v>38</v>
      </c>
      <c r="B651" s="108">
        <v>3130420290</v>
      </c>
      <c r="C651" s="108">
        <v>240</v>
      </c>
      <c r="D651" s="107" t="s">
        <v>216</v>
      </c>
      <c r="E651" s="14">
        <f>'№ 4 ведом'!F450</f>
        <v>80</v>
      </c>
      <c r="F651" s="14">
        <f>'№ 4 ведом'!G450</f>
        <v>0</v>
      </c>
      <c r="G651" s="14">
        <f>'№ 4 ведом'!H450</f>
        <v>0</v>
      </c>
    </row>
    <row r="652" spans="1:7" ht="47.25">
      <c r="A652" s="108" t="s">
        <v>38</v>
      </c>
      <c r="B652" s="108">
        <v>3200000000</v>
      </c>
      <c r="C652" s="108"/>
      <c r="D652" s="107" t="s">
        <v>329</v>
      </c>
      <c r="E652" s="14">
        <f>E653+E658</f>
        <v>811.9</v>
      </c>
      <c r="F652" s="14">
        <f t="shared" ref="F652:G652" si="246">F653+F658</f>
        <v>819.6</v>
      </c>
      <c r="G652" s="14">
        <f t="shared" si="246"/>
        <v>827.4</v>
      </c>
    </row>
    <row r="653" spans="1:7" ht="31.5">
      <c r="A653" s="108" t="s">
        <v>38</v>
      </c>
      <c r="B653" s="108">
        <v>3220000000</v>
      </c>
      <c r="C653" s="108"/>
      <c r="D653" s="107" t="s">
        <v>138</v>
      </c>
      <c r="E653" s="14">
        <f>E654</f>
        <v>752</v>
      </c>
      <c r="F653" s="14">
        <f t="shared" ref="F653:G653" si="247">F654</f>
        <v>759.7</v>
      </c>
      <c r="G653" s="14">
        <f t="shared" si="247"/>
        <v>767.5</v>
      </c>
    </row>
    <row r="654" spans="1:7" ht="47.25">
      <c r="A654" s="108" t="s">
        <v>38</v>
      </c>
      <c r="B654" s="108">
        <v>3220100000</v>
      </c>
      <c r="C654" s="108"/>
      <c r="D654" s="107" t="s">
        <v>180</v>
      </c>
      <c r="E654" s="14">
        <f>E655</f>
        <v>752</v>
      </c>
      <c r="F654" s="14">
        <f t="shared" ref="F654:G656" si="248">F655</f>
        <v>759.7</v>
      </c>
      <c r="G654" s="14">
        <f t="shared" si="248"/>
        <v>767.5</v>
      </c>
    </row>
    <row r="655" spans="1:7" ht="31.5">
      <c r="A655" s="108" t="s">
        <v>38</v>
      </c>
      <c r="B655" s="108">
        <v>3220120010</v>
      </c>
      <c r="C655" s="108"/>
      <c r="D655" s="107" t="s">
        <v>123</v>
      </c>
      <c r="E655" s="14">
        <f>E656</f>
        <v>752</v>
      </c>
      <c r="F655" s="14">
        <f t="shared" si="248"/>
        <v>759.7</v>
      </c>
      <c r="G655" s="14">
        <f t="shared" si="248"/>
        <v>767.5</v>
      </c>
    </row>
    <row r="656" spans="1:7" ht="31.5">
      <c r="A656" s="108" t="s">
        <v>38</v>
      </c>
      <c r="B656" s="108">
        <v>3220120010</v>
      </c>
      <c r="C656" s="108" t="s">
        <v>97</v>
      </c>
      <c r="D656" s="107" t="s">
        <v>98</v>
      </c>
      <c r="E656" s="14">
        <f>E657</f>
        <v>752</v>
      </c>
      <c r="F656" s="14">
        <f t="shared" si="248"/>
        <v>759.7</v>
      </c>
      <c r="G656" s="14">
        <f t="shared" si="248"/>
        <v>767.5</v>
      </c>
    </row>
    <row r="657" spans="1:7">
      <c r="A657" s="108" t="s">
        <v>38</v>
      </c>
      <c r="B657" s="108">
        <v>3220120010</v>
      </c>
      <c r="C657" s="108">
        <v>610</v>
      </c>
      <c r="D657" s="107" t="s">
        <v>104</v>
      </c>
      <c r="E657" s="14">
        <f>'№ 4 ведом'!F456</f>
        <v>752</v>
      </c>
      <c r="F657" s="14">
        <f>'№ 4 ведом'!G456</f>
        <v>759.7</v>
      </c>
      <c r="G657" s="14">
        <f>'№ 4 ведом'!H456</f>
        <v>767.5</v>
      </c>
    </row>
    <row r="658" spans="1:7" ht="31.5">
      <c r="A658" s="108" t="s">
        <v>38</v>
      </c>
      <c r="B658" s="108">
        <v>3250000000</v>
      </c>
      <c r="C658" s="7"/>
      <c r="D658" s="107" t="s">
        <v>132</v>
      </c>
      <c r="E658" s="14">
        <f>E659</f>
        <v>59.9</v>
      </c>
      <c r="F658" s="14">
        <f t="shared" ref="F658:G658" si="249">F659</f>
        <v>59.9</v>
      </c>
      <c r="G658" s="14">
        <f t="shared" si="249"/>
        <v>59.9</v>
      </c>
    </row>
    <row r="659" spans="1:7" ht="31.5">
      <c r="A659" s="108" t="s">
        <v>38</v>
      </c>
      <c r="B659" s="7" t="s">
        <v>346</v>
      </c>
      <c r="C659" s="7"/>
      <c r="D659" s="107" t="s">
        <v>136</v>
      </c>
      <c r="E659" s="14">
        <f>E660+E663</f>
        <v>59.9</v>
      </c>
      <c r="F659" s="14">
        <f t="shared" ref="F659:G659" si="250">F660+F663</f>
        <v>59.9</v>
      </c>
      <c r="G659" s="14">
        <f t="shared" si="250"/>
        <v>59.9</v>
      </c>
    </row>
    <row r="660" spans="1:7" ht="31.5">
      <c r="A660" s="108" t="s">
        <v>38</v>
      </c>
      <c r="B660" s="7" t="s">
        <v>347</v>
      </c>
      <c r="C660" s="7"/>
      <c r="D660" s="107" t="s">
        <v>134</v>
      </c>
      <c r="E660" s="14">
        <f>E661</f>
        <v>23.9</v>
      </c>
      <c r="F660" s="14">
        <f t="shared" ref="F660:G661" si="251">F661</f>
        <v>23.9</v>
      </c>
      <c r="G660" s="14">
        <f t="shared" si="251"/>
        <v>23.9</v>
      </c>
    </row>
    <row r="661" spans="1:7" ht="31.5">
      <c r="A661" s="108" t="s">
        <v>38</v>
      </c>
      <c r="B661" s="7" t="s">
        <v>347</v>
      </c>
      <c r="C661" s="108" t="s">
        <v>69</v>
      </c>
      <c r="D661" s="107" t="s">
        <v>95</v>
      </c>
      <c r="E661" s="14">
        <f>E662</f>
        <v>23.9</v>
      </c>
      <c r="F661" s="14">
        <f t="shared" si="251"/>
        <v>23.9</v>
      </c>
      <c r="G661" s="14">
        <f t="shared" si="251"/>
        <v>23.9</v>
      </c>
    </row>
    <row r="662" spans="1:7" ht="31.5">
      <c r="A662" s="108" t="s">
        <v>38</v>
      </c>
      <c r="B662" s="7" t="s">
        <v>347</v>
      </c>
      <c r="C662" s="108">
        <v>240</v>
      </c>
      <c r="D662" s="107" t="s">
        <v>216</v>
      </c>
      <c r="E662" s="14">
        <f>'№ 4 ведом'!F461</f>
        <v>23.9</v>
      </c>
      <c r="F662" s="14">
        <f>'№ 4 ведом'!G461</f>
        <v>23.9</v>
      </c>
      <c r="G662" s="14">
        <f>'№ 4 ведом'!H461</f>
        <v>23.9</v>
      </c>
    </row>
    <row r="663" spans="1:7">
      <c r="A663" s="108" t="s">
        <v>38</v>
      </c>
      <c r="B663" s="7" t="s">
        <v>395</v>
      </c>
      <c r="C663" s="7"/>
      <c r="D663" s="107" t="s">
        <v>135</v>
      </c>
      <c r="E663" s="14">
        <f>E664</f>
        <v>36</v>
      </c>
      <c r="F663" s="14">
        <f t="shared" ref="F663:G664" si="252">F664</f>
        <v>36</v>
      </c>
      <c r="G663" s="14">
        <f t="shared" si="252"/>
        <v>36</v>
      </c>
    </row>
    <row r="664" spans="1:7">
      <c r="A664" s="108" t="s">
        <v>38</v>
      </c>
      <c r="B664" s="7" t="s">
        <v>395</v>
      </c>
      <c r="C664" s="108" t="s">
        <v>73</v>
      </c>
      <c r="D664" s="107" t="s">
        <v>74</v>
      </c>
      <c r="E664" s="14">
        <f>E665</f>
        <v>36</v>
      </c>
      <c r="F664" s="14">
        <f t="shared" si="252"/>
        <v>36</v>
      </c>
      <c r="G664" s="14">
        <f t="shared" si="252"/>
        <v>36</v>
      </c>
    </row>
    <row r="665" spans="1:7" ht="31.5">
      <c r="A665" s="108" t="s">
        <v>38</v>
      </c>
      <c r="B665" s="7" t="s">
        <v>395</v>
      </c>
      <c r="C665" s="7" t="s">
        <v>267</v>
      </c>
      <c r="D665" s="107" t="s">
        <v>268</v>
      </c>
      <c r="E665" s="14">
        <f>'№ 4 ведом'!F464</f>
        <v>36</v>
      </c>
      <c r="F665" s="14">
        <f>'№ 4 ведом'!G464</f>
        <v>36</v>
      </c>
      <c r="G665" s="14">
        <f>'№ 4 ведом'!H464</f>
        <v>36</v>
      </c>
    </row>
    <row r="666" spans="1:7">
      <c r="A666" s="108" t="s">
        <v>52</v>
      </c>
      <c r="B666" s="108" t="s">
        <v>66</v>
      </c>
      <c r="C666" s="108" t="s">
        <v>66</v>
      </c>
      <c r="D666" s="107" t="s">
        <v>12</v>
      </c>
      <c r="E666" s="14">
        <f>E667+E684</f>
        <v>12402.2</v>
      </c>
      <c r="F666" s="14">
        <f t="shared" ref="F666:G666" si="253">F667+F684</f>
        <v>12258</v>
      </c>
      <c r="G666" s="14">
        <f t="shared" si="253"/>
        <v>12258</v>
      </c>
    </row>
    <row r="667" spans="1:7" ht="47.25">
      <c r="A667" s="108" t="s">
        <v>52</v>
      </c>
      <c r="B667" s="108">
        <v>3100000000</v>
      </c>
      <c r="C667" s="108"/>
      <c r="D667" s="107" t="s">
        <v>328</v>
      </c>
      <c r="E667" s="14">
        <f>E668+E675</f>
        <v>3646.5000000000005</v>
      </c>
      <c r="F667" s="14">
        <f t="shared" ref="F667:G667" si="254">F668+F675</f>
        <v>3423.2000000000003</v>
      </c>
      <c r="G667" s="14">
        <f t="shared" si="254"/>
        <v>3423.2000000000003</v>
      </c>
    </row>
    <row r="668" spans="1:7">
      <c r="A668" s="108" t="s">
        <v>52</v>
      </c>
      <c r="B668" s="108">
        <v>3110000000</v>
      </c>
      <c r="C668" s="108"/>
      <c r="D668" s="107" t="s">
        <v>163</v>
      </c>
      <c r="E668" s="14">
        <f>E669</f>
        <v>3423.2000000000003</v>
      </c>
      <c r="F668" s="14">
        <f t="shared" ref="F668:G668" si="255">F669</f>
        <v>3423.2000000000003</v>
      </c>
      <c r="G668" s="14">
        <f t="shared" si="255"/>
        <v>3423.2000000000003</v>
      </c>
    </row>
    <row r="669" spans="1:7">
      <c r="A669" s="108" t="s">
        <v>52</v>
      </c>
      <c r="B669" s="108">
        <v>3110600000</v>
      </c>
      <c r="C669" s="108"/>
      <c r="D669" s="107" t="s">
        <v>166</v>
      </c>
      <c r="E669" s="14">
        <f>E670</f>
        <v>3423.2000000000003</v>
      </c>
      <c r="F669" s="14">
        <f t="shared" ref="F669:G669" si="256">F670</f>
        <v>3423.2000000000003</v>
      </c>
      <c r="G669" s="14">
        <f t="shared" si="256"/>
        <v>3423.2000000000003</v>
      </c>
    </row>
    <row r="670" spans="1:7">
      <c r="A670" s="108" t="s">
        <v>52</v>
      </c>
      <c r="B670" s="108" t="s">
        <v>362</v>
      </c>
      <c r="C670" s="108"/>
      <c r="D670" s="30" t="s">
        <v>368</v>
      </c>
      <c r="E670" s="14">
        <f>E671+E673</f>
        <v>3423.2000000000003</v>
      </c>
      <c r="F670" s="14">
        <f t="shared" ref="F670:G670" si="257">F671+F673</f>
        <v>3423.2000000000003</v>
      </c>
      <c r="G670" s="14">
        <f t="shared" si="257"/>
        <v>3423.2000000000003</v>
      </c>
    </row>
    <row r="671" spans="1:7">
      <c r="A671" s="108" t="s">
        <v>52</v>
      </c>
      <c r="B671" s="108" t="s">
        <v>362</v>
      </c>
      <c r="C671" s="1" t="s">
        <v>73</v>
      </c>
      <c r="D671" s="26" t="s">
        <v>74</v>
      </c>
      <c r="E671" s="14">
        <f>E672</f>
        <v>90.3</v>
      </c>
      <c r="F671" s="14">
        <f t="shared" ref="F671:G671" si="258">F672</f>
        <v>166</v>
      </c>
      <c r="G671" s="14">
        <f t="shared" si="258"/>
        <v>166</v>
      </c>
    </row>
    <row r="672" spans="1:7" ht="31.5">
      <c r="A672" s="108" t="s">
        <v>52</v>
      </c>
      <c r="B672" s="108" t="s">
        <v>362</v>
      </c>
      <c r="C672" s="108">
        <v>320</v>
      </c>
      <c r="D672" s="107" t="s">
        <v>102</v>
      </c>
      <c r="E672" s="14">
        <f>'№ 4 ведом'!F959</f>
        <v>90.3</v>
      </c>
      <c r="F672" s="14">
        <f>'№ 4 ведом'!G959</f>
        <v>166</v>
      </c>
      <c r="G672" s="14">
        <f>'№ 4 ведом'!H959</f>
        <v>166</v>
      </c>
    </row>
    <row r="673" spans="1:7" ht="31.5">
      <c r="A673" s="108" t="s">
        <v>52</v>
      </c>
      <c r="B673" s="108" t="s">
        <v>362</v>
      </c>
      <c r="C673" s="108" t="s">
        <v>97</v>
      </c>
      <c r="D673" s="107" t="s">
        <v>98</v>
      </c>
      <c r="E673" s="14">
        <f>E674</f>
        <v>3332.9</v>
      </c>
      <c r="F673" s="14">
        <f t="shared" ref="F673:G673" si="259">F674</f>
        <v>3257.2000000000003</v>
      </c>
      <c r="G673" s="14">
        <f t="shared" si="259"/>
        <v>3257.2000000000003</v>
      </c>
    </row>
    <row r="674" spans="1:7">
      <c r="A674" s="108" t="s">
        <v>52</v>
      </c>
      <c r="B674" s="108" t="s">
        <v>362</v>
      </c>
      <c r="C674" s="108">
        <v>610</v>
      </c>
      <c r="D674" s="107" t="s">
        <v>104</v>
      </c>
      <c r="E674" s="14">
        <f>'№ 4 ведом'!F961</f>
        <v>3332.9</v>
      </c>
      <c r="F674" s="14">
        <f>'№ 4 ведом'!G961</f>
        <v>3257.2000000000003</v>
      </c>
      <c r="G674" s="14">
        <f>'№ 4 ведом'!H961</f>
        <v>3257.2000000000003</v>
      </c>
    </row>
    <row r="675" spans="1:7" ht="31.5">
      <c r="A675" s="108" t="s">
        <v>52</v>
      </c>
      <c r="B675" s="108">
        <v>3130000000</v>
      </c>
      <c r="C675" s="30"/>
      <c r="D675" s="107" t="s">
        <v>114</v>
      </c>
      <c r="E675" s="14">
        <f>E676+E680</f>
        <v>223.3</v>
      </c>
      <c r="F675" s="14">
        <f t="shared" ref="F675:G675" si="260">F676+F680</f>
        <v>0</v>
      </c>
      <c r="G675" s="14">
        <f t="shared" si="260"/>
        <v>0</v>
      </c>
    </row>
    <row r="676" spans="1:7" ht="31.5">
      <c r="A676" s="108" t="s">
        <v>52</v>
      </c>
      <c r="B676" s="108">
        <v>3130100000</v>
      </c>
      <c r="C676" s="30"/>
      <c r="D676" s="107" t="s">
        <v>204</v>
      </c>
      <c r="E676" s="14">
        <f>E677</f>
        <v>125.8</v>
      </c>
      <c r="F676" s="14">
        <f t="shared" ref="F676:G678" si="261">F677</f>
        <v>0</v>
      </c>
      <c r="G676" s="14">
        <f t="shared" si="261"/>
        <v>0</v>
      </c>
    </row>
    <row r="677" spans="1:7" ht="31.5">
      <c r="A677" s="108" t="s">
        <v>52</v>
      </c>
      <c r="B677" s="108">
        <v>3130120260</v>
      </c>
      <c r="C677" s="30"/>
      <c r="D677" s="107" t="s">
        <v>205</v>
      </c>
      <c r="E677" s="14">
        <f>E678</f>
        <v>125.8</v>
      </c>
      <c r="F677" s="14">
        <f t="shared" si="261"/>
        <v>0</v>
      </c>
      <c r="G677" s="14">
        <f t="shared" si="261"/>
        <v>0</v>
      </c>
    </row>
    <row r="678" spans="1:7" ht="31.5">
      <c r="A678" s="108" t="s">
        <v>52</v>
      </c>
      <c r="B678" s="108">
        <v>3130120260</v>
      </c>
      <c r="C678" s="108" t="s">
        <v>69</v>
      </c>
      <c r="D678" s="107" t="s">
        <v>95</v>
      </c>
      <c r="E678" s="14">
        <f>E679</f>
        <v>125.8</v>
      </c>
      <c r="F678" s="14">
        <f t="shared" si="261"/>
        <v>0</v>
      </c>
      <c r="G678" s="14">
        <f t="shared" si="261"/>
        <v>0</v>
      </c>
    </row>
    <row r="679" spans="1:7" ht="31.5">
      <c r="A679" s="108" t="s">
        <v>52</v>
      </c>
      <c r="B679" s="108">
        <v>3130120260</v>
      </c>
      <c r="C679" s="108">
        <v>240</v>
      </c>
      <c r="D679" s="107" t="s">
        <v>216</v>
      </c>
      <c r="E679" s="14">
        <f>'№ 4 ведом'!F966</f>
        <v>125.8</v>
      </c>
      <c r="F679" s="14">
        <f>'№ 4 ведом'!G966</f>
        <v>0</v>
      </c>
      <c r="G679" s="14">
        <f>'№ 4 ведом'!H966</f>
        <v>0</v>
      </c>
    </row>
    <row r="680" spans="1:7" ht="31.5">
      <c r="A680" s="108" t="s">
        <v>52</v>
      </c>
      <c r="B680" s="108">
        <v>3130200000</v>
      </c>
      <c r="C680" s="108"/>
      <c r="D680" s="107" t="s">
        <v>167</v>
      </c>
      <c r="E680" s="14">
        <f>E681</f>
        <v>97.5</v>
      </c>
      <c r="F680" s="14">
        <f t="shared" ref="F680:G680" si="262">F681</f>
        <v>0</v>
      </c>
      <c r="G680" s="14">
        <f t="shared" si="262"/>
        <v>0</v>
      </c>
    </row>
    <row r="681" spans="1:7" ht="31.5">
      <c r="A681" s="108" t="s">
        <v>52</v>
      </c>
      <c r="B681" s="108">
        <v>3130220270</v>
      </c>
      <c r="C681" s="108"/>
      <c r="D681" s="107" t="s">
        <v>168</v>
      </c>
      <c r="E681" s="14">
        <f>E682</f>
        <v>97.5</v>
      </c>
      <c r="F681" s="14">
        <f t="shared" ref="F681:G682" si="263">F682</f>
        <v>0</v>
      </c>
      <c r="G681" s="14">
        <f t="shared" si="263"/>
        <v>0</v>
      </c>
    </row>
    <row r="682" spans="1:7" ht="31.5">
      <c r="A682" s="108" t="s">
        <v>52</v>
      </c>
      <c r="B682" s="108">
        <v>3130220270</v>
      </c>
      <c r="C682" s="108" t="s">
        <v>69</v>
      </c>
      <c r="D682" s="107" t="s">
        <v>95</v>
      </c>
      <c r="E682" s="14">
        <f>E683</f>
        <v>97.5</v>
      </c>
      <c r="F682" s="14">
        <f t="shared" si="263"/>
        <v>0</v>
      </c>
      <c r="G682" s="14">
        <f t="shared" si="263"/>
        <v>0</v>
      </c>
    </row>
    <row r="683" spans="1:7" ht="31.5">
      <c r="A683" s="108" t="s">
        <v>52</v>
      </c>
      <c r="B683" s="108">
        <v>3130220270</v>
      </c>
      <c r="C683" s="108">
        <v>240</v>
      </c>
      <c r="D683" s="107" t="s">
        <v>216</v>
      </c>
      <c r="E683" s="14">
        <f>'№ 4 ведом'!F970</f>
        <v>97.5</v>
      </c>
      <c r="F683" s="14">
        <f>'№ 4 ведом'!G970</f>
        <v>0</v>
      </c>
      <c r="G683" s="14">
        <f>'№ 4 ведом'!H970</f>
        <v>0</v>
      </c>
    </row>
    <row r="684" spans="1:7">
      <c r="A684" s="108" t="s">
        <v>52</v>
      </c>
      <c r="B684" s="108">
        <v>9900000000</v>
      </c>
      <c r="C684" s="108"/>
      <c r="D684" s="107" t="s">
        <v>105</v>
      </c>
      <c r="E684" s="14">
        <f>E685</f>
        <v>8755.7000000000007</v>
      </c>
      <c r="F684" s="14">
        <f t="shared" ref="F684:G685" si="264">F685</f>
        <v>8834.7999999999993</v>
      </c>
      <c r="G684" s="14">
        <f t="shared" si="264"/>
        <v>8834.7999999999993</v>
      </c>
    </row>
    <row r="685" spans="1:7" ht="31.5">
      <c r="A685" s="108" t="s">
        <v>52</v>
      </c>
      <c r="B685" s="108">
        <v>9990000000</v>
      </c>
      <c r="C685" s="108"/>
      <c r="D685" s="107" t="s">
        <v>145</v>
      </c>
      <c r="E685" s="14">
        <f>E686</f>
        <v>8755.7000000000007</v>
      </c>
      <c r="F685" s="14">
        <f t="shared" si="264"/>
        <v>8834.7999999999993</v>
      </c>
      <c r="G685" s="14">
        <f t="shared" si="264"/>
        <v>8834.7999999999993</v>
      </c>
    </row>
    <row r="686" spans="1:7" ht="31.5">
      <c r="A686" s="108" t="s">
        <v>52</v>
      </c>
      <c r="B686" s="108">
        <v>9990200000</v>
      </c>
      <c r="C686" s="30"/>
      <c r="D686" s="107" t="s">
        <v>117</v>
      </c>
      <c r="E686" s="14">
        <f>E687+E692</f>
        <v>8755.7000000000007</v>
      </c>
      <c r="F686" s="14">
        <f t="shared" ref="F686:G686" si="265">F687+F692</f>
        <v>8834.7999999999993</v>
      </c>
      <c r="G686" s="14">
        <f t="shared" si="265"/>
        <v>8834.7999999999993</v>
      </c>
    </row>
    <row r="687" spans="1:7" ht="47.25">
      <c r="A687" s="108" t="s">
        <v>52</v>
      </c>
      <c r="B687" s="108">
        <v>9990225000</v>
      </c>
      <c r="C687" s="108"/>
      <c r="D687" s="107" t="s">
        <v>118</v>
      </c>
      <c r="E687" s="14">
        <f>E688+E690</f>
        <v>8621</v>
      </c>
      <c r="F687" s="14">
        <f t="shared" ref="F687:G687" si="266">F688+F690</f>
        <v>8834.7999999999993</v>
      </c>
      <c r="G687" s="14">
        <f t="shared" si="266"/>
        <v>8834.7999999999993</v>
      </c>
    </row>
    <row r="688" spans="1:7" ht="63">
      <c r="A688" s="108" t="s">
        <v>52</v>
      </c>
      <c r="B688" s="108">
        <v>9990225000</v>
      </c>
      <c r="C688" s="108" t="s">
        <v>68</v>
      </c>
      <c r="D688" s="107" t="s">
        <v>1</v>
      </c>
      <c r="E688" s="14">
        <f>E689</f>
        <v>8589.1</v>
      </c>
      <c r="F688" s="14">
        <f t="shared" ref="F688:G688" si="267">F689</f>
        <v>8802.9</v>
      </c>
      <c r="G688" s="14">
        <f t="shared" si="267"/>
        <v>8802.9</v>
      </c>
    </row>
    <row r="689" spans="1:7" ht="31.5">
      <c r="A689" s="108" t="s">
        <v>52</v>
      </c>
      <c r="B689" s="108">
        <v>9990225000</v>
      </c>
      <c r="C689" s="108">
        <v>120</v>
      </c>
      <c r="D689" s="107" t="s">
        <v>217</v>
      </c>
      <c r="E689" s="14">
        <f>'№ 4 ведом'!F976</f>
        <v>8589.1</v>
      </c>
      <c r="F689" s="14">
        <f>'№ 4 ведом'!G976</f>
        <v>8802.9</v>
      </c>
      <c r="G689" s="14">
        <f>'№ 4 ведом'!H976</f>
        <v>8802.9</v>
      </c>
    </row>
    <row r="690" spans="1:7">
      <c r="A690" s="108" t="s">
        <v>52</v>
      </c>
      <c r="B690" s="108">
        <v>9990225000</v>
      </c>
      <c r="C690" s="108" t="s">
        <v>70</v>
      </c>
      <c r="D690" s="107" t="s">
        <v>71</v>
      </c>
      <c r="E690" s="14">
        <f>E691</f>
        <v>31.9</v>
      </c>
      <c r="F690" s="14">
        <f t="shared" ref="F690:G690" si="268">F691</f>
        <v>31.9</v>
      </c>
      <c r="G690" s="14">
        <f t="shared" si="268"/>
        <v>31.9</v>
      </c>
    </row>
    <row r="691" spans="1:7">
      <c r="A691" s="108" t="s">
        <v>52</v>
      </c>
      <c r="B691" s="108">
        <v>9990225000</v>
      </c>
      <c r="C691" s="108">
        <v>850</v>
      </c>
      <c r="D691" s="107" t="s">
        <v>100</v>
      </c>
      <c r="E691" s="14">
        <f>'№ 4 ведом'!F978</f>
        <v>31.9</v>
      </c>
      <c r="F691" s="14">
        <f>'№ 4 ведом'!G978</f>
        <v>31.9</v>
      </c>
      <c r="G691" s="14">
        <f>'№ 4 ведом'!H978</f>
        <v>31.9</v>
      </c>
    </row>
    <row r="692" spans="1:7" ht="47.25">
      <c r="A692" s="108" t="s">
        <v>52</v>
      </c>
      <c r="B692" s="92">
        <v>9990255492</v>
      </c>
      <c r="C692" s="108"/>
      <c r="D692" s="107" t="s">
        <v>804</v>
      </c>
      <c r="E692" s="14">
        <f>E693</f>
        <v>134.69999999999999</v>
      </c>
      <c r="F692" s="14">
        <f t="shared" ref="F692:G693" si="269">F693</f>
        <v>0</v>
      </c>
      <c r="G692" s="14">
        <f t="shared" si="269"/>
        <v>0</v>
      </c>
    </row>
    <row r="693" spans="1:7" ht="63">
      <c r="A693" s="108" t="s">
        <v>52</v>
      </c>
      <c r="B693" s="92">
        <v>9990255492</v>
      </c>
      <c r="C693" s="108" t="s">
        <v>68</v>
      </c>
      <c r="D693" s="107" t="s">
        <v>1</v>
      </c>
      <c r="E693" s="14">
        <f>E694</f>
        <v>134.69999999999999</v>
      </c>
      <c r="F693" s="14">
        <f t="shared" si="269"/>
        <v>0</v>
      </c>
      <c r="G693" s="14">
        <f t="shared" si="269"/>
        <v>0</v>
      </c>
    </row>
    <row r="694" spans="1:7" ht="31.5">
      <c r="A694" s="108" t="s">
        <v>52</v>
      </c>
      <c r="B694" s="92">
        <v>9990255492</v>
      </c>
      <c r="C694" s="108">
        <v>120</v>
      </c>
      <c r="D694" s="107" t="s">
        <v>217</v>
      </c>
      <c r="E694" s="14">
        <f>'№ 4 ведом'!F981</f>
        <v>134.69999999999999</v>
      </c>
      <c r="F694" s="14">
        <f>'№ 4 ведом'!G981</f>
        <v>0</v>
      </c>
      <c r="G694" s="14">
        <f>'№ 4 ведом'!H981</f>
        <v>0</v>
      </c>
    </row>
    <row r="695" spans="1:7">
      <c r="A695" s="116" t="s">
        <v>41</v>
      </c>
      <c r="B695" s="116" t="s">
        <v>66</v>
      </c>
      <c r="C695" s="116" t="s">
        <v>66</v>
      </c>
      <c r="D695" s="13" t="s">
        <v>82</v>
      </c>
      <c r="E695" s="117">
        <f>E696</f>
        <v>106580.90000000001</v>
      </c>
      <c r="F695" s="117">
        <f t="shared" ref="F695:G695" si="270">F696</f>
        <v>113116.9</v>
      </c>
      <c r="G695" s="117">
        <f t="shared" si="270"/>
        <v>74675.5</v>
      </c>
    </row>
    <row r="696" spans="1:7">
      <c r="A696" s="108" t="s">
        <v>42</v>
      </c>
      <c r="B696" s="108" t="s">
        <v>66</v>
      </c>
      <c r="C696" s="108" t="s">
        <v>66</v>
      </c>
      <c r="D696" s="107" t="s">
        <v>13</v>
      </c>
      <c r="E696" s="14">
        <f>E697+E703+E736</f>
        <v>106580.90000000001</v>
      </c>
      <c r="F696" s="14">
        <f>F697+F703+F736</f>
        <v>113116.9</v>
      </c>
      <c r="G696" s="14">
        <f>G697+G703+G736</f>
        <v>74675.5</v>
      </c>
    </row>
    <row r="697" spans="1:7" ht="47.25">
      <c r="A697" s="108" t="s">
        <v>42</v>
      </c>
      <c r="B697" s="108">
        <v>3100000000</v>
      </c>
      <c r="C697" s="30"/>
      <c r="D697" s="107" t="s">
        <v>328</v>
      </c>
      <c r="E697" s="14">
        <f>E698</f>
        <v>490.3</v>
      </c>
      <c r="F697" s="14">
        <f t="shared" ref="F697:G697" si="271">F698</f>
        <v>0</v>
      </c>
      <c r="G697" s="14">
        <f t="shared" si="271"/>
        <v>0</v>
      </c>
    </row>
    <row r="698" spans="1:7" ht="31.5">
      <c r="A698" s="108" t="s">
        <v>42</v>
      </c>
      <c r="B698" s="108">
        <v>3130000000</v>
      </c>
      <c r="C698" s="30"/>
      <c r="D698" s="107" t="s">
        <v>114</v>
      </c>
      <c r="E698" s="14">
        <f>E699</f>
        <v>490.3</v>
      </c>
      <c r="F698" s="14">
        <f t="shared" ref="F698:G701" si="272">F699</f>
        <v>0</v>
      </c>
      <c r="G698" s="14">
        <f t="shared" si="272"/>
        <v>0</v>
      </c>
    </row>
    <row r="699" spans="1:7" ht="47.25">
      <c r="A699" s="108" t="s">
        <v>42</v>
      </c>
      <c r="B699" s="108">
        <v>3130300000</v>
      </c>
      <c r="C699" s="30"/>
      <c r="D699" s="107" t="s">
        <v>115</v>
      </c>
      <c r="E699" s="14">
        <f>E700</f>
        <v>490.3</v>
      </c>
      <c r="F699" s="14">
        <f t="shared" si="272"/>
        <v>0</v>
      </c>
      <c r="G699" s="14">
        <f t="shared" si="272"/>
        <v>0</v>
      </c>
    </row>
    <row r="700" spans="1:7" ht="31.5">
      <c r="A700" s="108" t="s">
        <v>42</v>
      </c>
      <c r="B700" s="108">
        <v>3130320280</v>
      </c>
      <c r="C700" s="30"/>
      <c r="D700" s="107" t="s">
        <v>116</v>
      </c>
      <c r="E700" s="14">
        <f>E701</f>
        <v>490.3</v>
      </c>
      <c r="F700" s="14">
        <f t="shared" si="272"/>
        <v>0</v>
      </c>
      <c r="G700" s="14">
        <f t="shared" si="272"/>
        <v>0</v>
      </c>
    </row>
    <row r="701" spans="1:7" ht="31.5">
      <c r="A701" s="108" t="s">
        <v>42</v>
      </c>
      <c r="B701" s="108">
        <v>3130320280</v>
      </c>
      <c r="C701" s="108" t="s">
        <v>97</v>
      </c>
      <c r="D701" s="107" t="s">
        <v>98</v>
      </c>
      <c r="E701" s="14">
        <f>E702</f>
        <v>490.3</v>
      </c>
      <c r="F701" s="14">
        <f t="shared" si="272"/>
        <v>0</v>
      </c>
      <c r="G701" s="14">
        <f t="shared" si="272"/>
        <v>0</v>
      </c>
    </row>
    <row r="702" spans="1:7">
      <c r="A702" s="108" t="s">
        <v>42</v>
      </c>
      <c r="B702" s="108">
        <v>3130320280</v>
      </c>
      <c r="C702" s="108">
        <v>610</v>
      </c>
      <c r="D702" s="107" t="s">
        <v>104</v>
      </c>
      <c r="E702" s="14">
        <f>'№ 4 ведом'!F472</f>
        <v>490.3</v>
      </c>
      <c r="F702" s="14">
        <f>'№ 4 ведом'!G472</f>
        <v>0</v>
      </c>
      <c r="G702" s="14">
        <f>'№ 4 ведом'!H472</f>
        <v>0</v>
      </c>
    </row>
    <row r="703" spans="1:7" ht="47.25">
      <c r="A703" s="108" t="s">
        <v>42</v>
      </c>
      <c r="B703" s="108">
        <v>3200000000</v>
      </c>
      <c r="C703" s="108"/>
      <c r="D703" s="107" t="s">
        <v>329</v>
      </c>
      <c r="E703" s="14">
        <f>E704+E716</f>
        <v>101836.8</v>
      </c>
      <c r="F703" s="14">
        <f t="shared" ref="F703:G703" si="273">F704+F716</f>
        <v>109988</v>
      </c>
      <c r="G703" s="14">
        <f t="shared" si="273"/>
        <v>71546.600000000006</v>
      </c>
    </row>
    <row r="704" spans="1:7" ht="31.5">
      <c r="A704" s="108" t="s">
        <v>42</v>
      </c>
      <c r="B704" s="108">
        <v>3210000000</v>
      </c>
      <c r="C704" s="108"/>
      <c r="D704" s="107" t="s">
        <v>177</v>
      </c>
      <c r="E704" s="14">
        <f>E705+E712</f>
        <v>23866.799999999999</v>
      </c>
      <c r="F704" s="14">
        <f t="shared" ref="F704:G704" si="274">F705+F712</f>
        <v>23750.1</v>
      </c>
      <c r="G704" s="14">
        <f t="shared" si="274"/>
        <v>23750.1</v>
      </c>
    </row>
    <row r="705" spans="1:7" ht="31.5">
      <c r="A705" s="108" t="s">
        <v>42</v>
      </c>
      <c r="B705" s="108">
        <v>3210100000</v>
      </c>
      <c r="C705" s="108"/>
      <c r="D705" s="107" t="s">
        <v>178</v>
      </c>
      <c r="E705" s="14">
        <f>E706+E709</f>
        <v>23750.1</v>
      </c>
      <c r="F705" s="14">
        <f t="shared" ref="F705:G705" si="275">F706+F709</f>
        <v>23750.1</v>
      </c>
      <c r="G705" s="14">
        <f t="shared" si="275"/>
        <v>23750.1</v>
      </c>
    </row>
    <row r="706" spans="1:7" ht="31.5">
      <c r="A706" s="108" t="s">
        <v>42</v>
      </c>
      <c r="B706" s="108">
        <v>3210120010</v>
      </c>
      <c r="C706" s="108"/>
      <c r="D706" s="107" t="s">
        <v>123</v>
      </c>
      <c r="E706" s="14">
        <f>E707</f>
        <v>8407.7000000000007</v>
      </c>
      <c r="F706" s="14">
        <f t="shared" ref="F706:G707" si="276">F707</f>
        <v>8407.7000000000007</v>
      </c>
      <c r="G706" s="14">
        <f t="shared" si="276"/>
        <v>8407.7000000000007</v>
      </c>
    </row>
    <row r="707" spans="1:7" ht="31.5">
      <c r="A707" s="108" t="s">
        <v>42</v>
      </c>
      <c r="B707" s="108">
        <v>3210120010</v>
      </c>
      <c r="C707" s="108" t="s">
        <v>97</v>
      </c>
      <c r="D707" s="107" t="s">
        <v>98</v>
      </c>
      <c r="E707" s="14">
        <f>E708</f>
        <v>8407.7000000000007</v>
      </c>
      <c r="F707" s="14">
        <f t="shared" si="276"/>
        <v>8407.7000000000007</v>
      </c>
      <c r="G707" s="14">
        <f t="shared" si="276"/>
        <v>8407.7000000000007</v>
      </c>
    </row>
    <row r="708" spans="1:7">
      <c r="A708" s="108" t="s">
        <v>42</v>
      </c>
      <c r="B708" s="108">
        <v>3210120010</v>
      </c>
      <c r="C708" s="108">
        <v>610</v>
      </c>
      <c r="D708" s="107" t="s">
        <v>104</v>
      </c>
      <c r="E708" s="14">
        <f>'№ 4 ведом'!F478</f>
        <v>8407.7000000000007</v>
      </c>
      <c r="F708" s="14">
        <f>'№ 4 ведом'!G478</f>
        <v>8407.7000000000007</v>
      </c>
      <c r="G708" s="14">
        <f>'№ 4 ведом'!H478</f>
        <v>8407.7000000000007</v>
      </c>
    </row>
    <row r="709" spans="1:7" ht="31.5">
      <c r="A709" s="108" t="s">
        <v>42</v>
      </c>
      <c r="B709" s="108" t="s">
        <v>348</v>
      </c>
      <c r="C709" s="108"/>
      <c r="D709" s="33" t="s">
        <v>379</v>
      </c>
      <c r="E709" s="14">
        <f>E710</f>
        <v>15342.4</v>
      </c>
      <c r="F709" s="14">
        <f t="shared" ref="F709:G710" si="277">F710</f>
        <v>15342.4</v>
      </c>
      <c r="G709" s="14">
        <f t="shared" si="277"/>
        <v>15342.4</v>
      </c>
    </row>
    <row r="710" spans="1:7" ht="31.5">
      <c r="A710" s="108" t="s">
        <v>42</v>
      </c>
      <c r="B710" s="108" t="s">
        <v>348</v>
      </c>
      <c r="C710" s="108" t="s">
        <v>97</v>
      </c>
      <c r="D710" s="30" t="s">
        <v>98</v>
      </c>
      <c r="E710" s="14">
        <f>E711</f>
        <v>15342.4</v>
      </c>
      <c r="F710" s="14">
        <f t="shared" si="277"/>
        <v>15342.4</v>
      </c>
      <c r="G710" s="14">
        <f t="shared" si="277"/>
        <v>15342.4</v>
      </c>
    </row>
    <row r="711" spans="1:7">
      <c r="A711" s="108" t="s">
        <v>42</v>
      </c>
      <c r="B711" s="108" t="s">
        <v>348</v>
      </c>
      <c r="C711" s="108">
        <v>610</v>
      </c>
      <c r="D711" s="30" t="s">
        <v>104</v>
      </c>
      <c r="E711" s="14">
        <f>'№ 4 ведом'!F481</f>
        <v>15342.4</v>
      </c>
      <c r="F711" s="14">
        <f>'№ 4 ведом'!G481</f>
        <v>15342.4</v>
      </c>
      <c r="G711" s="14">
        <f>'№ 4 ведом'!H481</f>
        <v>15342.4</v>
      </c>
    </row>
    <row r="712" spans="1:7" ht="31.5">
      <c r="A712" s="108" t="s">
        <v>42</v>
      </c>
      <c r="B712" s="108">
        <v>3210200000</v>
      </c>
      <c r="C712" s="108"/>
      <c r="D712" s="107" t="s">
        <v>179</v>
      </c>
      <c r="E712" s="14">
        <f>E713</f>
        <v>116.7</v>
      </c>
      <c r="F712" s="14">
        <f t="shared" ref="F712:G712" si="278">F713</f>
        <v>0</v>
      </c>
      <c r="G712" s="14">
        <f t="shared" si="278"/>
        <v>0</v>
      </c>
    </row>
    <row r="713" spans="1:7" ht="47.25">
      <c r="A713" s="108" t="s">
        <v>42</v>
      </c>
      <c r="B713" s="108" t="s">
        <v>349</v>
      </c>
      <c r="C713" s="108"/>
      <c r="D713" s="107" t="s">
        <v>288</v>
      </c>
      <c r="E713" s="14">
        <f>E714</f>
        <v>116.7</v>
      </c>
      <c r="F713" s="14">
        <f t="shared" ref="F713:G714" si="279">F714</f>
        <v>0</v>
      </c>
      <c r="G713" s="14">
        <f t="shared" si="279"/>
        <v>0</v>
      </c>
    </row>
    <row r="714" spans="1:7" ht="31.5">
      <c r="A714" s="108" t="s">
        <v>42</v>
      </c>
      <c r="B714" s="108" t="s">
        <v>349</v>
      </c>
      <c r="C714" s="108" t="s">
        <v>97</v>
      </c>
      <c r="D714" s="107" t="s">
        <v>98</v>
      </c>
      <c r="E714" s="14">
        <f>E715</f>
        <v>116.7</v>
      </c>
      <c r="F714" s="14">
        <f t="shared" si="279"/>
        <v>0</v>
      </c>
      <c r="G714" s="14">
        <f t="shared" si="279"/>
        <v>0</v>
      </c>
    </row>
    <row r="715" spans="1:7">
      <c r="A715" s="108" t="s">
        <v>42</v>
      </c>
      <c r="B715" s="108" t="s">
        <v>349</v>
      </c>
      <c r="C715" s="108">
        <v>610</v>
      </c>
      <c r="D715" s="107" t="s">
        <v>104</v>
      </c>
      <c r="E715" s="14">
        <f>'№ 4 ведом'!F485</f>
        <v>116.7</v>
      </c>
      <c r="F715" s="14">
        <f>'№ 4 ведом'!G485</f>
        <v>0</v>
      </c>
      <c r="G715" s="14">
        <f>'№ 4 ведом'!H485</f>
        <v>0</v>
      </c>
    </row>
    <row r="716" spans="1:7" ht="31.5">
      <c r="A716" s="108" t="s">
        <v>42</v>
      </c>
      <c r="B716" s="108">
        <v>3220000000</v>
      </c>
      <c r="C716" s="108"/>
      <c r="D716" s="107" t="s">
        <v>138</v>
      </c>
      <c r="E716" s="14">
        <f>E717+E724+E732+E728</f>
        <v>77970</v>
      </c>
      <c r="F716" s="14">
        <f t="shared" ref="F716:G716" si="280">F717+F724+F732+F728</f>
        <v>86237.9</v>
      </c>
      <c r="G716" s="14">
        <f t="shared" si="280"/>
        <v>47796.5</v>
      </c>
    </row>
    <row r="717" spans="1:7" ht="47.25">
      <c r="A717" s="108" t="s">
        <v>42</v>
      </c>
      <c r="B717" s="108">
        <v>3220100000</v>
      </c>
      <c r="C717" s="108"/>
      <c r="D717" s="107" t="s">
        <v>180</v>
      </c>
      <c r="E717" s="14">
        <f>E718+E721</f>
        <v>48123.8</v>
      </c>
      <c r="F717" s="14">
        <f t="shared" ref="F717:G717" si="281">F718+F721</f>
        <v>47796.5</v>
      </c>
      <c r="G717" s="14">
        <f t="shared" si="281"/>
        <v>47796.5</v>
      </c>
    </row>
    <row r="718" spans="1:7" ht="31.5">
      <c r="A718" s="108" t="s">
        <v>42</v>
      </c>
      <c r="B718" s="108">
        <v>3220120010</v>
      </c>
      <c r="C718" s="108"/>
      <c r="D718" s="107" t="s">
        <v>123</v>
      </c>
      <c r="E718" s="14">
        <f>E719</f>
        <v>16211.3</v>
      </c>
      <c r="F718" s="14">
        <f t="shared" ref="F718:G719" si="282">F719</f>
        <v>15884</v>
      </c>
      <c r="G718" s="14">
        <f t="shared" si="282"/>
        <v>15884</v>
      </c>
    </row>
    <row r="719" spans="1:7" ht="31.5">
      <c r="A719" s="108" t="s">
        <v>42</v>
      </c>
      <c r="B719" s="108">
        <v>3220120010</v>
      </c>
      <c r="C719" s="108" t="s">
        <v>97</v>
      </c>
      <c r="D719" s="107" t="s">
        <v>98</v>
      </c>
      <c r="E719" s="14">
        <f>E720</f>
        <v>16211.3</v>
      </c>
      <c r="F719" s="14">
        <f t="shared" si="282"/>
        <v>15884</v>
      </c>
      <c r="G719" s="14">
        <f t="shared" si="282"/>
        <v>15884</v>
      </c>
    </row>
    <row r="720" spans="1:7">
      <c r="A720" s="108" t="s">
        <v>42</v>
      </c>
      <c r="B720" s="108">
        <v>3220120010</v>
      </c>
      <c r="C720" s="108">
        <v>610</v>
      </c>
      <c r="D720" s="107" t="s">
        <v>104</v>
      </c>
      <c r="E720" s="14">
        <f>'№ 4 ведом'!F490</f>
        <v>16211.3</v>
      </c>
      <c r="F720" s="14">
        <f>'№ 4 ведом'!G490</f>
        <v>15884</v>
      </c>
      <c r="G720" s="14">
        <f>'№ 4 ведом'!H490</f>
        <v>15884</v>
      </c>
    </row>
    <row r="721" spans="1:7" ht="31.5">
      <c r="A721" s="108" t="s">
        <v>42</v>
      </c>
      <c r="B721" s="108" t="s">
        <v>350</v>
      </c>
      <c r="C721" s="108"/>
      <c r="D721" s="33" t="s">
        <v>379</v>
      </c>
      <c r="E721" s="14">
        <f>E722</f>
        <v>31912.5</v>
      </c>
      <c r="F721" s="14">
        <f t="shared" ref="F721:G722" si="283">F722</f>
        <v>31912.5</v>
      </c>
      <c r="G721" s="14">
        <f t="shared" si="283"/>
        <v>31912.5</v>
      </c>
    </row>
    <row r="722" spans="1:7" ht="31.5">
      <c r="A722" s="108" t="s">
        <v>42</v>
      </c>
      <c r="B722" s="108" t="s">
        <v>350</v>
      </c>
      <c r="C722" s="108" t="s">
        <v>97</v>
      </c>
      <c r="D722" s="30" t="s">
        <v>98</v>
      </c>
      <c r="E722" s="14">
        <f>E723</f>
        <v>31912.5</v>
      </c>
      <c r="F722" s="14">
        <f t="shared" si="283"/>
        <v>31912.5</v>
      </c>
      <c r="G722" s="14">
        <f t="shared" si="283"/>
        <v>31912.5</v>
      </c>
    </row>
    <row r="723" spans="1:7">
      <c r="A723" s="108" t="s">
        <v>42</v>
      </c>
      <c r="B723" s="108" t="s">
        <v>350</v>
      </c>
      <c r="C723" s="108">
        <v>610</v>
      </c>
      <c r="D723" s="30" t="s">
        <v>104</v>
      </c>
      <c r="E723" s="14">
        <f>'№ 4 ведом'!F493</f>
        <v>31912.5</v>
      </c>
      <c r="F723" s="14">
        <f>'№ 4 ведом'!G493</f>
        <v>31912.5</v>
      </c>
      <c r="G723" s="14">
        <f>'№ 4 ведом'!H493</f>
        <v>31912.5</v>
      </c>
    </row>
    <row r="724" spans="1:7" ht="31.5">
      <c r="A724" s="108" t="s">
        <v>42</v>
      </c>
      <c r="B724" s="108">
        <v>3220200000</v>
      </c>
      <c r="C724" s="108"/>
      <c r="D724" s="107" t="s">
        <v>181</v>
      </c>
      <c r="E724" s="14">
        <f>E725</f>
        <v>966.3</v>
      </c>
      <c r="F724" s="14">
        <f t="shared" ref="F724:G726" si="284">F725</f>
        <v>0</v>
      </c>
      <c r="G724" s="14">
        <f t="shared" si="284"/>
        <v>0</v>
      </c>
    </row>
    <row r="725" spans="1:7">
      <c r="A725" s="108" t="s">
        <v>42</v>
      </c>
      <c r="B725" s="108">
        <v>3220220320</v>
      </c>
      <c r="C725" s="108"/>
      <c r="D725" s="107" t="s">
        <v>139</v>
      </c>
      <c r="E725" s="14">
        <f>E726</f>
        <v>966.3</v>
      </c>
      <c r="F725" s="14">
        <f t="shared" si="284"/>
        <v>0</v>
      </c>
      <c r="G725" s="14">
        <f t="shared" si="284"/>
        <v>0</v>
      </c>
    </row>
    <row r="726" spans="1:7" ht="31.5">
      <c r="A726" s="108" t="s">
        <v>42</v>
      </c>
      <c r="B726" s="108">
        <v>3220220320</v>
      </c>
      <c r="C726" s="108" t="s">
        <v>97</v>
      </c>
      <c r="D726" s="107" t="s">
        <v>98</v>
      </c>
      <c r="E726" s="14">
        <f>E727</f>
        <v>966.3</v>
      </c>
      <c r="F726" s="14">
        <f t="shared" si="284"/>
        <v>0</v>
      </c>
      <c r="G726" s="14">
        <f t="shared" si="284"/>
        <v>0</v>
      </c>
    </row>
    <row r="727" spans="1:7">
      <c r="A727" s="108" t="s">
        <v>42</v>
      </c>
      <c r="B727" s="108">
        <v>3220220320</v>
      </c>
      <c r="C727" s="108">
        <v>610</v>
      </c>
      <c r="D727" s="107" t="s">
        <v>104</v>
      </c>
      <c r="E727" s="14">
        <f>'№ 4 ведом'!F497</f>
        <v>966.3</v>
      </c>
      <c r="F727" s="14">
        <f>'№ 4 ведом'!G497</f>
        <v>0</v>
      </c>
      <c r="G727" s="14">
        <f>'№ 4 ведом'!H497</f>
        <v>0</v>
      </c>
    </row>
    <row r="728" spans="1:7" ht="63">
      <c r="A728" s="108" t="s">
        <v>42</v>
      </c>
      <c r="B728" s="108">
        <v>3220400000</v>
      </c>
      <c r="C728" s="108"/>
      <c r="D728" s="30" t="s">
        <v>440</v>
      </c>
      <c r="E728" s="14">
        <f>E729</f>
        <v>134.19999999999999</v>
      </c>
      <c r="F728" s="14">
        <f t="shared" ref="F728:G730" si="285">F729</f>
        <v>0</v>
      </c>
      <c r="G728" s="14">
        <f t="shared" si="285"/>
        <v>0</v>
      </c>
    </row>
    <row r="729" spans="1:7" ht="31.5">
      <c r="A729" s="108" t="s">
        <v>42</v>
      </c>
      <c r="B729" s="108">
        <v>3220420020</v>
      </c>
      <c r="C729" s="108"/>
      <c r="D729" s="30" t="s">
        <v>319</v>
      </c>
      <c r="E729" s="14">
        <f>E730</f>
        <v>134.19999999999999</v>
      </c>
      <c r="F729" s="14">
        <f t="shared" si="285"/>
        <v>0</v>
      </c>
      <c r="G729" s="14">
        <f t="shared" si="285"/>
        <v>0</v>
      </c>
    </row>
    <row r="730" spans="1:7" ht="31.5">
      <c r="A730" s="108" t="s">
        <v>42</v>
      </c>
      <c r="B730" s="108">
        <v>3220420020</v>
      </c>
      <c r="C730" s="108" t="s">
        <v>97</v>
      </c>
      <c r="D730" s="30" t="s">
        <v>98</v>
      </c>
      <c r="E730" s="14">
        <f>E731</f>
        <v>134.19999999999999</v>
      </c>
      <c r="F730" s="14">
        <f t="shared" si="285"/>
        <v>0</v>
      </c>
      <c r="G730" s="14">
        <f t="shared" si="285"/>
        <v>0</v>
      </c>
    </row>
    <row r="731" spans="1:7">
      <c r="A731" s="108" t="s">
        <v>42</v>
      </c>
      <c r="B731" s="108">
        <v>3220420020</v>
      </c>
      <c r="C731" s="108">
        <v>610</v>
      </c>
      <c r="D731" s="30" t="s">
        <v>104</v>
      </c>
      <c r="E731" s="14">
        <f>'№ 4 ведом'!F501</f>
        <v>134.19999999999999</v>
      </c>
      <c r="F731" s="14">
        <f>'№ 4 ведом'!G501</f>
        <v>0</v>
      </c>
      <c r="G731" s="14">
        <f>'№ 4 ведом'!H501</f>
        <v>0</v>
      </c>
    </row>
    <row r="732" spans="1:7" ht="47.25">
      <c r="A732" s="108" t="s">
        <v>42</v>
      </c>
      <c r="B732" s="108" t="s">
        <v>397</v>
      </c>
      <c r="C732" s="108"/>
      <c r="D732" s="30" t="s">
        <v>396</v>
      </c>
      <c r="E732" s="14">
        <f>E733</f>
        <v>28745.7</v>
      </c>
      <c r="F732" s="14">
        <f t="shared" ref="F732:G732" si="286">F733</f>
        <v>38441.4</v>
      </c>
      <c r="G732" s="14">
        <f t="shared" si="286"/>
        <v>0</v>
      </c>
    </row>
    <row r="733" spans="1:7" ht="31.5">
      <c r="A733" s="108" t="s">
        <v>42</v>
      </c>
      <c r="B733" s="108" t="s">
        <v>423</v>
      </c>
      <c r="C733" s="108"/>
      <c r="D733" s="30" t="s">
        <v>398</v>
      </c>
      <c r="E733" s="14">
        <f>E734</f>
        <v>28745.7</v>
      </c>
      <c r="F733" s="14">
        <f t="shared" ref="F733:G734" si="287">F734</f>
        <v>38441.4</v>
      </c>
      <c r="G733" s="14">
        <f t="shared" si="287"/>
        <v>0</v>
      </c>
    </row>
    <row r="734" spans="1:7" ht="31.5">
      <c r="A734" s="108" t="s">
        <v>42</v>
      </c>
      <c r="B734" s="108" t="s">
        <v>423</v>
      </c>
      <c r="C734" s="108" t="s">
        <v>69</v>
      </c>
      <c r="D734" s="107" t="s">
        <v>95</v>
      </c>
      <c r="E734" s="14">
        <f>E735</f>
        <v>28745.7</v>
      </c>
      <c r="F734" s="14">
        <f t="shared" si="287"/>
        <v>38441.4</v>
      </c>
      <c r="G734" s="14">
        <f t="shared" si="287"/>
        <v>0</v>
      </c>
    </row>
    <row r="735" spans="1:7" ht="31.5">
      <c r="A735" s="108" t="s">
        <v>42</v>
      </c>
      <c r="B735" s="108" t="s">
        <v>423</v>
      </c>
      <c r="C735" s="108">
        <v>240</v>
      </c>
      <c r="D735" s="107" t="s">
        <v>216</v>
      </c>
      <c r="E735" s="14">
        <f>'№ 4 ведом'!F505</f>
        <v>28745.7</v>
      </c>
      <c r="F735" s="14">
        <f>'№ 4 ведом'!G505</f>
        <v>38441.4</v>
      </c>
      <c r="G735" s="14">
        <f>'№ 4 ведом'!H505</f>
        <v>0</v>
      </c>
    </row>
    <row r="736" spans="1:7" ht="31.5">
      <c r="A736" s="108" t="s">
        <v>42</v>
      </c>
      <c r="B736" s="108">
        <v>3500000000</v>
      </c>
      <c r="C736" s="108"/>
      <c r="D736" s="107" t="s">
        <v>330</v>
      </c>
      <c r="E736" s="14">
        <f>E737</f>
        <v>4253.8</v>
      </c>
      <c r="F736" s="14">
        <f t="shared" ref="F736:G736" si="288">F737</f>
        <v>3128.9</v>
      </c>
      <c r="G736" s="14">
        <f t="shared" si="288"/>
        <v>3128.9</v>
      </c>
    </row>
    <row r="737" spans="1:7" ht="31.5">
      <c r="A737" s="108" t="s">
        <v>42</v>
      </c>
      <c r="B737" s="108">
        <v>3520000000</v>
      </c>
      <c r="C737" s="108"/>
      <c r="D737" s="107" t="s">
        <v>228</v>
      </c>
      <c r="E737" s="14">
        <f>E738+E742+E746</f>
        <v>4253.8</v>
      </c>
      <c r="F737" s="14">
        <f t="shared" ref="F737:G737" si="289">F738+F742+F746</f>
        <v>3128.9</v>
      </c>
      <c r="G737" s="14">
        <f t="shared" si="289"/>
        <v>3128.9</v>
      </c>
    </row>
    <row r="738" spans="1:7" ht="31.5">
      <c r="A738" s="108" t="s">
        <v>42</v>
      </c>
      <c r="B738" s="108">
        <v>3520300000</v>
      </c>
      <c r="C738" s="108"/>
      <c r="D738" s="30" t="s">
        <v>264</v>
      </c>
      <c r="E738" s="14">
        <f>E739</f>
        <v>477.1</v>
      </c>
      <c r="F738" s="14">
        <f t="shared" ref="F738:G740" si="290">F739</f>
        <v>320.39999999999998</v>
      </c>
      <c r="G738" s="14">
        <f t="shared" si="290"/>
        <v>320.39999999999998</v>
      </c>
    </row>
    <row r="739" spans="1:7">
      <c r="A739" s="108" t="s">
        <v>42</v>
      </c>
      <c r="B739" s="108">
        <v>3520320300</v>
      </c>
      <c r="C739" s="108"/>
      <c r="D739" s="30" t="s">
        <v>265</v>
      </c>
      <c r="E739" s="14">
        <f>E740</f>
        <v>477.1</v>
      </c>
      <c r="F739" s="14">
        <f t="shared" si="290"/>
        <v>320.39999999999998</v>
      </c>
      <c r="G739" s="14">
        <f t="shared" si="290"/>
        <v>320.39999999999998</v>
      </c>
    </row>
    <row r="740" spans="1:7" ht="31.5">
      <c r="A740" s="108" t="s">
        <v>42</v>
      </c>
      <c r="B740" s="108">
        <v>3520320300</v>
      </c>
      <c r="C740" s="108" t="s">
        <v>97</v>
      </c>
      <c r="D740" s="30" t="s">
        <v>98</v>
      </c>
      <c r="E740" s="14">
        <f>E741</f>
        <v>477.1</v>
      </c>
      <c r="F740" s="14">
        <f t="shared" si="290"/>
        <v>320.39999999999998</v>
      </c>
      <c r="G740" s="14">
        <f t="shared" si="290"/>
        <v>320.39999999999998</v>
      </c>
    </row>
    <row r="741" spans="1:7">
      <c r="A741" s="108" t="s">
        <v>42</v>
      </c>
      <c r="B741" s="108">
        <v>3520320300</v>
      </c>
      <c r="C741" s="108">
        <v>610</v>
      </c>
      <c r="D741" s="30" t="s">
        <v>104</v>
      </c>
      <c r="E741" s="14">
        <f>'№ 4 ведом'!F511</f>
        <v>477.1</v>
      </c>
      <c r="F741" s="14">
        <f>'№ 4 ведом'!G511</f>
        <v>320.39999999999998</v>
      </c>
      <c r="G741" s="14">
        <f>'№ 4 ведом'!H511</f>
        <v>320.39999999999998</v>
      </c>
    </row>
    <row r="742" spans="1:7" ht="31.5">
      <c r="A742" s="108" t="s">
        <v>42</v>
      </c>
      <c r="B742" s="108">
        <v>3520400000</v>
      </c>
      <c r="C742" s="108"/>
      <c r="D742" s="107" t="s">
        <v>270</v>
      </c>
      <c r="E742" s="14">
        <f>E743</f>
        <v>104.9</v>
      </c>
      <c r="F742" s="14">
        <f t="shared" ref="F742:G744" si="291">F743</f>
        <v>107.5</v>
      </c>
      <c r="G742" s="14">
        <f t="shared" si="291"/>
        <v>107.5</v>
      </c>
    </row>
    <row r="743" spans="1:7">
      <c r="A743" s="108" t="s">
        <v>42</v>
      </c>
      <c r="B743" s="108">
        <v>3520420300</v>
      </c>
      <c r="C743" s="108"/>
      <c r="D743" s="107" t="s">
        <v>271</v>
      </c>
      <c r="E743" s="14">
        <f>E744</f>
        <v>104.9</v>
      </c>
      <c r="F743" s="14">
        <f t="shared" si="291"/>
        <v>107.5</v>
      </c>
      <c r="G743" s="14">
        <f t="shared" si="291"/>
        <v>107.5</v>
      </c>
    </row>
    <row r="744" spans="1:7" ht="31.5">
      <c r="A744" s="108" t="s">
        <v>42</v>
      </c>
      <c r="B744" s="108">
        <v>3520420300</v>
      </c>
      <c r="C744" s="108" t="s">
        <v>97</v>
      </c>
      <c r="D744" s="30" t="s">
        <v>98</v>
      </c>
      <c r="E744" s="14">
        <f>E745</f>
        <v>104.9</v>
      </c>
      <c r="F744" s="14">
        <f t="shared" si="291"/>
        <v>107.5</v>
      </c>
      <c r="G744" s="14">
        <f t="shared" si="291"/>
        <v>107.5</v>
      </c>
    </row>
    <row r="745" spans="1:7">
      <c r="A745" s="108" t="s">
        <v>42</v>
      </c>
      <c r="B745" s="108">
        <v>3520420300</v>
      </c>
      <c r="C745" s="108">
        <v>610</v>
      </c>
      <c r="D745" s="30" t="s">
        <v>104</v>
      </c>
      <c r="E745" s="14">
        <f>'№ 4 ведом'!F515</f>
        <v>104.9</v>
      </c>
      <c r="F745" s="14">
        <f>'№ 4 ведом'!G515</f>
        <v>107.5</v>
      </c>
      <c r="G745" s="14">
        <f>'№ 4 ведом'!H515</f>
        <v>107.5</v>
      </c>
    </row>
    <row r="746" spans="1:7" ht="31.5">
      <c r="A746" s="108" t="s">
        <v>42</v>
      </c>
      <c r="B746" s="108">
        <v>3520500000</v>
      </c>
      <c r="C746" s="108"/>
      <c r="D746" s="107" t="s">
        <v>269</v>
      </c>
      <c r="E746" s="14">
        <f>E747</f>
        <v>3671.8</v>
      </c>
      <c r="F746" s="14">
        <f t="shared" ref="F746:G748" si="292">F747</f>
        <v>2701</v>
      </c>
      <c r="G746" s="14">
        <f t="shared" si="292"/>
        <v>2701</v>
      </c>
    </row>
    <row r="747" spans="1:7">
      <c r="A747" s="108" t="s">
        <v>42</v>
      </c>
      <c r="B747" s="108">
        <v>3520520200</v>
      </c>
      <c r="C747" s="108"/>
      <c r="D747" s="107" t="s">
        <v>252</v>
      </c>
      <c r="E747" s="14">
        <f>E748</f>
        <v>3671.8</v>
      </c>
      <c r="F747" s="14">
        <f t="shared" si="292"/>
        <v>2701</v>
      </c>
      <c r="G747" s="14">
        <f t="shared" si="292"/>
        <v>2701</v>
      </c>
    </row>
    <row r="748" spans="1:7" ht="31.5">
      <c r="A748" s="108" t="s">
        <v>42</v>
      </c>
      <c r="B748" s="108">
        <v>3520520200</v>
      </c>
      <c r="C748" s="108" t="s">
        <v>97</v>
      </c>
      <c r="D748" s="30" t="s">
        <v>98</v>
      </c>
      <c r="E748" s="14">
        <f>E749</f>
        <v>3671.8</v>
      </c>
      <c r="F748" s="14">
        <f t="shared" si="292"/>
        <v>2701</v>
      </c>
      <c r="G748" s="14">
        <f t="shared" si="292"/>
        <v>2701</v>
      </c>
    </row>
    <row r="749" spans="1:7">
      <c r="A749" s="108" t="s">
        <v>42</v>
      </c>
      <c r="B749" s="108">
        <v>3520520200</v>
      </c>
      <c r="C749" s="108">
        <v>610</v>
      </c>
      <c r="D749" s="30" t="s">
        <v>104</v>
      </c>
      <c r="E749" s="14">
        <f>'№ 4 ведом'!F519</f>
        <v>3671.8</v>
      </c>
      <c r="F749" s="14">
        <f>'№ 4 ведом'!G519</f>
        <v>2701</v>
      </c>
      <c r="G749" s="14">
        <f>'№ 4 ведом'!H519</f>
        <v>2701</v>
      </c>
    </row>
    <row r="750" spans="1:7">
      <c r="A750" s="116" t="s">
        <v>39</v>
      </c>
      <c r="B750" s="116" t="s">
        <v>66</v>
      </c>
      <c r="C750" s="116" t="s">
        <v>66</v>
      </c>
      <c r="D750" s="13" t="s">
        <v>31</v>
      </c>
      <c r="E750" s="117">
        <f>E751+E760+E773</f>
        <v>29357.8</v>
      </c>
      <c r="F750" s="117">
        <f t="shared" ref="F750:G750" si="293">F751+F760+F773</f>
        <v>21059.699999999997</v>
      </c>
      <c r="G750" s="117">
        <f t="shared" si="293"/>
        <v>14844.999999999998</v>
      </c>
    </row>
    <row r="751" spans="1:7">
      <c r="A751" s="108" t="s">
        <v>53</v>
      </c>
      <c r="B751" s="108" t="s">
        <v>66</v>
      </c>
      <c r="C751" s="108" t="s">
        <v>66</v>
      </c>
      <c r="D751" s="107" t="s">
        <v>32</v>
      </c>
      <c r="E751" s="14">
        <f>E752</f>
        <v>1119.6999999999998</v>
      </c>
      <c r="F751" s="14">
        <f t="shared" ref="F751:G754" si="294">F752</f>
        <v>1119.6999999999998</v>
      </c>
      <c r="G751" s="14">
        <f t="shared" si="294"/>
        <v>1119.6999999999998</v>
      </c>
    </row>
    <row r="752" spans="1:7" ht="47.25">
      <c r="A752" s="108" t="s">
        <v>53</v>
      </c>
      <c r="B752" s="108">
        <v>3200000000</v>
      </c>
      <c r="C752" s="108"/>
      <c r="D752" s="107" t="s">
        <v>329</v>
      </c>
      <c r="E752" s="14">
        <f>E753</f>
        <v>1119.6999999999998</v>
      </c>
      <c r="F752" s="14">
        <f t="shared" si="294"/>
        <v>1119.6999999999998</v>
      </c>
      <c r="G752" s="14">
        <f t="shared" si="294"/>
        <v>1119.6999999999998</v>
      </c>
    </row>
    <row r="753" spans="1:7" ht="31.5">
      <c r="A753" s="108" t="s">
        <v>53</v>
      </c>
      <c r="B753" s="108">
        <v>3250000000</v>
      </c>
      <c r="C753" s="108"/>
      <c r="D753" s="107" t="s">
        <v>132</v>
      </c>
      <c r="E753" s="14">
        <f>E754</f>
        <v>1119.6999999999998</v>
      </c>
      <c r="F753" s="14">
        <f t="shared" si="294"/>
        <v>1119.6999999999998</v>
      </c>
      <c r="G753" s="14">
        <f t="shared" si="294"/>
        <v>1119.6999999999998</v>
      </c>
    </row>
    <row r="754" spans="1:7">
      <c r="A754" s="108" t="s">
        <v>53</v>
      </c>
      <c r="B754" s="108">
        <v>3250400000</v>
      </c>
      <c r="C754" s="108"/>
      <c r="D754" s="107" t="s">
        <v>182</v>
      </c>
      <c r="E754" s="14">
        <f>E755</f>
        <v>1119.6999999999998</v>
      </c>
      <c r="F754" s="14">
        <f t="shared" si="294"/>
        <v>1119.6999999999998</v>
      </c>
      <c r="G754" s="14">
        <f t="shared" si="294"/>
        <v>1119.6999999999998</v>
      </c>
    </row>
    <row r="755" spans="1:7" ht="47.25">
      <c r="A755" s="108" t="s">
        <v>53</v>
      </c>
      <c r="B755" s="108">
        <v>3250420390</v>
      </c>
      <c r="C755" s="108"/>
      <c r="D755" s="107" t="s">
        <v>67</v>
      </c>
      <c r="E755" s="14">
        <f>E756+E758</f>
        <v>1119.6999999999998</v>
      </c>
      <c r="F755" s="14">
        <f t="shared" ref="F755:G755" si="295">F756+F758</f>
        <v>1119.6999999999998</v>
      </c>
      <c r="G755" s="14">
        <f t="shared" si="295"/>
        <v>1119.6999999999998</v>
      </c>
    </row>
    <row r="756" spans="1:7" ht="31.5">
      <c r="A756" s="108" t="s">
        <v>53</v>
      </c>
      <c r="B756" s="108">
        <v>3250420390</v>
      </c>
      <c r="C756" s="108" t="s">
        <v>69</v>
      </c>
      <c r="D756" s="107" t="s">
        <v>95</v>
      </c>
      <c r="E756" s="14">
        <f>E757</f>
        <v>32.6</v>
      </c>
      <c r="F756" s="14">
        <f t="shared" ref="F756:G756" si="296">F757</f>
        <v>32.6</v>
      </c>
      <c r="G756" s="14">
        <f t="shared" si="296"/>
        <v>32.6</v>
      </c>
    </row>
    <row r="757" spans="1:7" ht="31.5">
      <c r="A757" s="108" t="s">
        <v>53</v>
      </c>
      <c r="B757" s="108">
        <v>3250420390</v>
      </c>
      <c r="C757" s="108">
        <v>240</v>
      </c>
      <c r="D757" s="107" t="s">
        <v>216</v>
      </c>
      <c r="E757" s="14">
        <f>'№ 4 ведом'!F527</f>
        <v>32.6</v>
      </c>
      <c r="F757" s="14">
        <f>'№ 4 ведом'!G527</f>
        <v>32.6</v>
      </c>
      <c r="G757" s="14">
        <f>'№ 4 ведом'!H527</f>
        <v>32.6</v>
      </c>
    </row>
    <row r="758" spans="1:7">
      <c r="A758" s="108" t="s">
        <v>53</v>
      </c>
      <c r="B758" s="108">
        <v>3250420390</v>
      </c>
      <c r="C758" s="108" t="s">
        <v>73</v>
      </c>
      <c r="D758" s="107" t="s">
        <v>74</v>
      </c>
      <c r="E758" s="14">
        <f>E759</f>
        <v>1087.0999999999999</v>
      </c>
      <c r="F758" s="14">
        <f t="shared" ref="F758:G758" si="297">F759</f>
        <v>1087.0999999999999</v>
      </c>
      <c r="G758" s="14">
        <f t="shared" si="297"/>
        <v>1087.0999999999999</v>
      </c>
    </row>
    <row r="759" spans="1:7">
      <c r="A759" s="108" t="s">
        <v>53</v>
      </c>
      <c r="B759" s="108">
        <v>3250420390</v>
      </c>
      <c r="C759" s="108" t="s">
        <v>140</v>
      </c>
      <c r="D759" s="107" t="s">
        <v>141</v>
      </c>
      <c r="E759" s="14">
        <f>'№ 4 ведом'!F529</f>
        <v>1087.0999999999999</v>
      </c>
      <c r="F759" s="14">
        <f>'№ 4 ведом'!G529</f>
        <v>1087.0999999999999</v>
      </c>
      <c r="G759" s="14">
        <f>'№ 4 ведом'!H529</f>
        <v>1087.0999999999999</v>
      </c>
    </row>
    <row r="760" spans="1:7">
      <c r="A760" s="108" t="s">
        <v>40</v>
      </c>
      <c r="B760" s="108" t="s">
        <v>66</v>
      </c>
      <c r="C760" s="108" t="s">
        <v>66</v>
      </c>
      <c r="D760" s="107" t="s">
        <v>34</v>
      </c>
      <c r="E760" s="14">
        <f>E761</f>
        <v>620.1</v>
      </c>
      <c r="F760" s="14">
        <f t="shared" ref="F760:G760" si="298">F761</f>
        <v>120.1</v>
      </c>
      <c r="G760" s="14">
        <f t="shared" si="298"/>
        <v>120.1</v>
      </c>
    </row>
    <row r="761" spans="1:7" ht="47.25">
      <c r="A761" s="108" t="s">
        <v>40</v>
      </c>
      <c r="B761" s="108">
        <v>3200000000</v>
      </c>
      <c r="C761" s="108"/>
      <c r="D761" s="107" t="s">
        <v>329</v>
      </c>
      <c r="E761" s="14">
        <f>E762</f>
        <v>620.1</v>
      </c>
      <c r="F761" s="14">
        <f t="shared" ref="F761:G761" si="299">F762</f>
        <v>120.1</v>
      </c>
      <c r="G761" s="14">
        <f t="shared" si="299"/>
        <v>120.1</v>
      </c>
    </row>
    <row r="762" spans="1:7" ht="31.5">
      <c r="A762" s="108" t="s">
        <v>40</v>
      </c>
      <c r="B762" s="108">
        <v>3250000000</v>
      </c>
      <c r="C762" s="108"/>
      <c r="D762" s="107" t="s">
        <v>132</v>
      </c>
      <c r="E762" s="14">
        <f>E763+E767</f>
        <v>620.1</v>
      </c>
      <c r="F762" s="14">
        <f t="shared" ref="F762:G762" si="300">F763+F767</f>
        <v>120.1</v>
      </c>
      <c r="G762" s="14">
        <f t="shared" si="300"/>
        <v>120.1</v>
      </c>
    </row>
    <row r="763" spans="1:7" ht="31.5">
      <c r="A763" s="108" t="s">
        <v>40</v>
      </c>
      <c r="B763" s="108">
        <v>3250100000</v>
      </c>
      <c r="C763" s="108"/>
      <c r="D763" s="107" t="s">
        <v>183</v>
      </c>
      <c r="E763" s="14">
        <f>E764</f>
        <v>500</v>
      </c>
      <c r="F763" s="14">
        <f t="shared" ref="F763:G763" si="301">F764</f>
        <v>0</v>
      </c>
      <c r="G763" s="14">
        <f t="shared" si="301"/>
        <v>0</v>
      </c>
    </row>
    <row r="764" spans="1:7" ht="31.5">
      <c r="A764" s="108" t="s">
        <v>40</v>
      </c>
      <c r="B764" s="108">
        <v>3250120330</v>
      </c>
      <c r="C764" s="108"/>
      <c r="D764" s="107" t="s">
        <v>142</v>
      </c>
      <c r="E764" s="14">
        <f>E765</f>
        <v>500</v>
      </c>
      <c r="F764" s="14">
        <f t="shared" ref="F764:G765" si="302">F765</f>
        <v>0</v>
      </c>
      <c r="G764" s="14">
        <f t="shared" si="302"/>
        <v>0</v>
      </c>
    </row>
    <row r="765" spans="1:7" ht="31.5">
      <c r="A765" s="108" t="s">
        <v>40</v>
      </c>
      <c r="B765" s="108">
        <v>3250120330</v>
      </c>
      <c r="C765" s="108" t="s">
        <v>97</v>
      </c>
      <c r="D765" s="107" t="s">
        <v>98</v>
      </c>
      <c r="E765" s="14">
        <f>E766</f>
        <v>500</v>
      </c>
      <c r="F765" s="14">
        <f t="shared" si="302"/>
        <v>0</v>
      </c>
      <c r="G765" s="14">
        <f t="shared" si="302"/>
        <v>0</v>
      </c>
    </row>
    <row r="766" spans="1:7" ht="31.5">
      <c r="A766" s="108" t="s">
        <v>40</v>
      </c>
      <c r="B766" s="108">
        <v>3250120330</v>
      </c>
      <c r="C766" s="108">
        <v>630</v>
      </c>
      <c r="D766" s="107" t="s">
        <v>143</v>
      </c>
      <c r="E766" s="14">
        <f>'№ 4 ведом'!F536</f>
        <v>500</v>
      </c>
      <c r="F766" s="14">
        <f>'№ 4 ведом'!G536</f>
        <v>0</v>
      </c>
      <c r="G766" s="14">
        <f>'№ 4 ведом'!H536</f>
        <v>0</v>
      </c>
    </row>
    <row r="767" spans="1:7" ht="31.5">
      <c r="A767" s="108" t="s">
        <v>40</v>
      </c>
      <c r="B767" s="108">
        <v>3250200000</v>
      </c>
      <c r="C767" s="108"/>
      <c r="D767" s="107" t="s">
        <v>144</v>
      </c>
      <c r="E767" s="14">
        <f>E768</f>
        <v>120.1</v>
      </c>
      <c r="F767" s="14">
        <f t="shared" ref="F767:G767" si="303">F768</f>
        <v>120.1</v>
      </c>
      <c r="G767" s="14">
        <f t="shared" si="303"/>
        <v>120.1</v>
      </c>
    </row>
    <row r="768" spans="1:7" ht="31.5">
      <c r="A768" s="108" t="s">
        <v>40</v>
      </c>
      <c r="B768" s="108">
        <v>3250220350</v>
      </c>
      <c r="C768" s="108"/>
      <c r="D768" s="107" t="s">
        <v>184</v>
      </c>
      <c r="E768" s="14">
        <f>E769+E771</f>
        <v>120.1</v>
      </c>
      <c r="F768" s="14">
        <f t="shared" ref="F768:G768" si="304">F769+F771</f>
        <v>120.1</v>
      </c>
      <c r="G768" s="14">
        <f t="shared" si="304"/>
        <v>120.1</v>
      </c>
    </row>
    <row r="769" spans="1:7" ht="31.5">
      <c r="A769" s="108" t="s">
        <v>40</v>
      </c>
      <c r="B769" s="108">
        <v>3250220350</v>
      </c>
      <c r="C769" s="108" t="s">
        <v>69</v>
      </c>
      <c r="D769" s="107" t="s">
        <v>95</v>
      </c>
      <c r="E769" s="14">
        <f>E770</f>
        <v>4.0999999999999996</v>
      </c>
      <c r="F769" s="14">
        <f t="shared" ref="F769:G769" si="305">F770</f>
        <v>4.0999999999999996</v>
      </c>
      <c r="G769" s="14">
        <f t="shared" si="305"/>
        <v>4.0999999999999996</v>
      </c>
    </row>
    <row r="770" spans="1:7" ht="31.5">
      <c r="A770" s="108" t="s">
        <v>40</v>
      </c>
      <c r="B770" s="108">
        <v>3250220350</v>
      </c>
      <c r="C770" s="108">
        <v>240</v>
      </c>
      <c r="D770" s="107" t="s">
        <v>216</v>
      </c>
      <c r="E770" s="14">
        <f>'№ 4 ведом'!F540</f>
        <v>4.0999999999999996</v>
      </c>
      <c r="F770" s="14">
        <f>'№ 4 ведом'!G540</f>
        <v>4.0999999999999996</v>
      </c>
      <c r="G770" s="14">
        <f>'№ 4 ведом'!H540</f>
        <v>4.0999999999999996</v>
      </c>
    </row>
    <row r="771" spans="1:7">
      <c r="A771" s="108" t="s">
        <v>40</v>
      </c>
      <c r="B771" s="108">
        <v>3250220350</v>
      </c>
      <c r="C771" s="108" t="s">
        <v>73</v>
      </c>
      <c r="D771" s="107" t="s">
        <v>74</v>
      </c>
      <c r="E771" s="14">
        <f>E772</f>
        <v>116</v>
      </c>
      <c r="F771" s="14">
        <f t="shared" ref="F771:G771" si="306">F772</f>
        <v>116</v>
      </c>
      <c r="G771" s="14">
        <f t="shared" si="306"/>
        <v>116</v>
      </c>
    </row>
    <row r="772" spans="1:7">
      <c r="A772" s="108" t="s">
        <v>40</v>
      </c>
      <c r="B772" s="108">
        <v>3250220350</v>
      </c>
      <c r="C772" s="108" t="s">
        <v>140</v>
      </c>
      <c r="D772" s="107" t="s">
        <v>141</v>
      </c>
      <c r="E772" s="14">
        <f>'№ 4 ведом'!F542</f>
        <v>116</v>
      </c>
      <c r="F772" s="14">
        <f>'№ 4 ведом'!G542</f>
        <v>116</v>
      </c>
      <c r="G772" s="14">
        <f>'№ 4 ведом'!H542</f>
        <v>116</v>
      </c>
    </row>
    <row r="773" spans="1:7">
      <c r="A773" s="108">
        <v>1004</v>
      </c>
      <c r="B773" s="102"/>
      <c r="C773" s="102"/>
      <c r="D773" s="107" t="s">
        <v>85</v>
      </c>
      <c r="E773" s="14">
        <f>E782+E774+E788</f>
        <v>27618</v>
      </c>
      <c r="F773" s="14">
        <f t="shared" ref="F773:G773" si="307">F782+F774+F788</f>
        <v>19819.899999999998</v>
      </c>
      <c r="G773" s="14">
        <f t="shared" si="307"/>
        <v>13605.199999999999</v>
      </c>
    </row>
    <row r="774" spans="1:7" ht="47.25">
      <c r="A774" s="108" t="s">
        <v>84</v>
      </c>
      <c r="B774" s="108">
        <v>3100000000</v>
      </c>
      <c r="C774" s="108"/>
      <c r="D774" s="107" t="s">
        <v>328</v>
      </c>
      <c r="E774" s="14">
        <f>E775</f>
        <v>13605.199999999999</v>
      </c>
      <c r="F774" s="14">
        <f t="shared" ref="F774:G776" si="308">F775</f>
        <v>13605.199999999999</v>
      </c>
      <c r="G774" s="14">
        <f t="shared" si="308"/>
        <v>13605.199999999999</v>
      </c>
    </row>
    <row r="775" spans="1:7">
      <c r="A775" s="108" t="s">
        <v>84</v>
      </c>
      <c r="B775" s="108">
        <v>3110000000</v>
      </c>
      <c r="C775" s="108"/>
      <c r="D775" s="107" t="s">
        <v>163</v>
      </c>
      <c r="E775" s="14">
        <f>E776</f>
        <v>13605.199999999999</v>
      </c>
      <c r="F775" s="14">
        <f t="shared" si="308"/>
        <v>13605.199999999999</v>
      </c>
      <c r="G775" s="14">
        <f t="shared" si="308"/>
        <v>13605.199999999999</v>
      </c>
    </row>
    <row r="776" spans="1:7" ht="47.25">
      <c r="A776" s="108" t="s">
        <v>84</v>
      </c>
      <c r="B776" s="108">
        <v>3110200000</v>
      </c>
      <c r="C776" s="108"/>
      <c r="D776" s="107" t="s">
        <v>169</v>
      </c>
      <c r="E776" s="14">
        <f>E777</f>
        <v>13605.199999999999</v>
      </c>
      <c r="F776" s="14">
        <f t="shared" si="308"/>
        <v>13605.199999999999</v>
      </c>
      <c r="G776" s="14">
        <f t="shared" si="308"/>
        <v>13605.199999999999</v>
      </c>
    </row>
    <row r="777" spans="1:7" ht="78.75">
      <c r="A777" s="108" t="s">
        <v>84</v>
      </c>
      <c r="B777" s="108">
        <v>3110210500</v>
      </c>
      <c r="C777" s="108"/>
      <c r="D777" s="107" t="s">
        <v>213</v>
      </c>
      <c r="E777" s="14">
        <f>E778+E780</f>
        <v>13605.199999999999</v>
      </c>
      <c r="F777" s="14">
        <f t="shared" ref="F777:G777" si="309">F778+F780</f>
        <v>13605.199999999999</v>
      </c>
      <c r="G777" s="14">
        <f t="shared" si="309"/>
        <v>13605.199999999999</v>
      </c>
    </row>
    <row r="778" spans="1:7" ht="31.5">
      <c r="A778" s="108" t="s">
        <v>84</v>
      </c>
      <c r="B778" s="108">
        <v>3110210500</v>
      </c>
      <c r="C778" s="108" t="s">
        <v>69</v>
      </c>
      <c r="D778" s="107" t="s">
        <v>95</v>
      </c>
      <c r="E778" s="14">
        <f>E779</f>
        <v>331.8</v>
      </c>
      <c r="F778" s="14">
        <f t="shared" ref="F778:G778" si="310">F779</f>
        <v>331.8</v>
      </c>
      <c r="G778" s="14">
        <f t="shared" si="310"/>
        <v>331.8</v>
      </c>
    </row>
    <row r="779" spans="1:7" ht="31.5">
      <c r="A779" s="108" t="s">
        <v>84</v>
      </c>
      <c r="B779" s="108">
        <v>3110210500</v>
      </c>
      <c r="C779" s="108">
        <v>240</v>
      </c>
      <c r="D779" s="107" t="s">
        <v>216</v>
      </c>
      <c r="E779" s="14">
        <f>'№ 4 ведом'!F989</f>
        <v>331.8</v>
      </c>
      <c r="F779" s="14">
        <f>'№ 4 ведом'!G989</f>
        <v>331.8</v>
      </c>
      <c r="G779" s="14">
        <f>'№ 4 ведом'!H989</f>
        <v>331.8</v>
      </c>
    </row>
    <row r="780" spans="1:7">
      <c r="A780" s="108" t="s">
        <v>84</v>
      </c>
      <c r="B780" s="108">
        <v>3110210500</v>
      </c>
      <c r="C780" s="108" t="s">
        <v>73</v>
      </c>
      <c r="D780" s="107" t="s">
        <v>74</v>
      </c>
      <c r="E780" s="14">
        <f>E781</f>
        <v>13273.4</v>
      </c>
      <c r="F780" s="14">
        <f t="shared" ref="F780:G780" si="311">F781</f>
        <v>13273.4</v>
      </c>
      <c r="G780" s="14">
        <f t="shared" si="311"/>
        <v>13273.4</v>
      </c>
    </row>
    <row r="781" spans="1:7" ht="31.5">
      <c r="A781" s="108" t="s">
        <v>84</v>
      </c>
      <c r="B781" s="108">
        <v>3110210500</v>
      </c>
      <c r="C781" s="1" t="s">
        <v>101</v>
      </c>
      <c r="D781" s="26" t="s">
        <v>102</v>
      </c>
      <c r="E781" s="14">
        <f>'№ 4 ведом'!F991</f>
        <v>13273.4</v>
      </c>
      <c r="F781" s="14">
        <f>'№ 4 ведом'!G991</f>
        <v>13273.4</v>
      </c>
      <c r="G781" s="14">
        <f>'№ 4 ведом'!H991</f>
        <v>13273.4</v>
      </c>
    </row>
    <row r="782" spans="1:7" ht="47.25">
      <c r="A782" s="108">
        <v>1004</v>
      </c>
      <c r="B782" s="108">
        <v>3200000000</v>
      </c>
      <c r="C782" s="108"/>
      <c r="D782" s="107" t="s">
        <v>329</v>
      </c>
      <c r="E782" s="14">
        <f>E783</f>
        <v>2969.1000000000004</v>
      </c>
      <c r="F782" s="14">
        <f t="shared" ref="F782:G783" si="312">F783</f>
        <v>692.8</v>
      </c>
      <c r="G782" s="14">
        <f t="shared" si="312"/>
        <v>0</v>
      </c>
    </row>
    <row r="783" spans="1:7" ht="31.5">
      <c r="A783" s="108">
        <v>1004</v>
      </c>
      <c r="B783" s="108">
        <v>3260000000</v>
      </c>
      <c r="C783" s="108"/>
      <c r="D783" s="107" t="s">
        <v>351</v>
      </c>
      <c r="E783" s="14">
        <f>E784</f>
        <v>2969.1000000000004</v>
      </c>
      <c r="F783" s="14">
        <f t="shared" si="312"/>
        <v>692.8</v>
      </c>
      <c r="G783" s="14">
        <f t="shared" si="312"/>
        <v>0</v>
      </c>
    </row>
    <row r="784" spans="1:7">
      <c r="A784" s="108">
        <v>1004</v>
      </c>
      <c r="B784" s="108">
        <v>3260100000</v>
      </c>
      <c r="C784" s="108"/>
      <c r="D784" s="107" t="s">
        <v>352</v>
      </c>
      <c r="E784" s="14">
        <f>E785</f>
        <v>2969.1000000000004</v>
      </c>
      <c r="F784" s="14">
        <f t="shared" ref="F784:G786" si="313">F785</f>
        <v>692.8</v>
      </c>
      <c r="G784" s="14">
        <f t="shared" si="313"/>
        <v>0</v>
      </c>
    </row>
    <row r="785" spans="1:7">
      <c r="A785" s="108">
        <v>1004</v>
      </c>
      <c r="B785" s="108" t="s">
        <v>353</v>
      </c>
      <c r="C785" s="108"/>
      <c r="D785" s="107" t="s">
        <v>215</v>
      </c>
      <c r="E785" s="14">
        <f>E786</f>
        <v>2969.1000000000004</v>
      </c>
      <c r="F785" s="14">
        <f t="shared" si="313"/>
        <v>692.8</v>
      </c>
      <c r="G785" s="14">
        <f t="shared" si="313"/>
        <v>0</v>
      </c>
    </row>
    <row r="786" spans="1:7">
      <c r="A786" s="108">
        <v>1004</v>
      </c>
      <c r="B786" s="108" t="s">
        <v>353</v>
      </c>
      <c r="C786" s="1" t="s">
        <v>73</v>
      </c>
      <c r="D786" s="26" t="s">
        <v>74</v>
      </c>
      <c r="E786" s="14">
        <f>E787</f>
        <v>2969.1000000000004</v>
      </c>
      <c r="F786" s="14">
        <f t="shared" si="313"/>
        <v>692.8</v>
      </c>
      <c r="G786" s="14">
        <f t="shared" si="313"/>
        <v>0</v>
      </c>
    </row>
    <row r="787" spans="1:7" ht="31.5">
      <c r="A787" s="108">
        <v>1004</v>
      </c>
      <c r="B787" s="108" t="s">
        <v>353</v>
      </c>
      <c r="C787" s="1" t="s">
        <v>101</v>
      </c>
      <c r="D787" s="26" t="s">
        <v>102</v>
      </c>
      <c r="E787" s="14">
        <f>'№ 4 ведом'!F549</f>
        <v>2969.1000000000004</v>
      </c>
      <c r="F787" s="14">
        <f>'№ 4 ведом'!G549</f>
        <v>692.8</v>
      </c>
      <c r="G787" s="14">
        <f>'№ 4 ведом'!H549</f>
        <v>0</v>
      </c>
    </row>
    <row r="788" spans="1:7" ht="47.25">
      <c r="A788" s="108" t="s">
        <v>84</v>
      </c>
      <c r="B788" s="108">
        <v>3600000000</v>
      </c>
      <c r="C788" s="108"/>
      <c r="D788" s="107" t="s">
        <v>331</v>
      </c>
      <c r="E788" s="14">
        <f>E789</f>
        <v>11043.7</v>
      </c>
      <c r="F788" s="14">
        <f t="shared" ref="F788:G792" si="314">F789</f>
        <v>5521.9</v>
      </c>
      <c r="G788" s="14">
        <f t="shared" si="314"/>
        <v>0</v>
      </c>
    </row>
    <row r="789" spans="1:7" ht="31.5">
      <c r="A789" s="108" t="s">
        <v>84</v>
      </c>
      <c r="B789" s="108">
        <v>3610000000</v>
      </c>
      <c r="C789" s="108"/>
      <c r="D789" s="107" t="s">
        <v>107</v>
      </c>
      <c r="E789" s="14">
        <f>E790</f>
        <v>11043.7</v>
      </c>
      <c r="F789" s="14">
        <f t="shared" si="314"/>
        <v>5521.9</v>
      </c>
      <c r="G789" s="14">
        <f t="shared" si="314"/>
        <v>0</v>
      </c>
    </row>
    <row r="790" spans="1:7">
      <c r="A790" s="108" t="s">
        <v>84</v>
      </c>
      <c r="B790" s="108">
        <v>3610200000</v>
      </c>
      <c r="C790" s="108"/>
      <c r="D790" s="107" t="s">
        <v>112</v>
      </c>
      <c r="E790" s="14">
        <f>E791</f>
        <v>11043.7</v>
      </c>
      <c r="F790" s="14">
        <f t="shared" si="314"/>
        <v>5521.9</v>
      </c>
      <c r="G790" s="14">
        <f t="shared" si="314"/>
        <v>0</v>
      </c>
    </row>
    <row r="791" spans="1:7" ht="63">
      <c r="A791" s="108" t="s">
        <v>84</v>
      </c>
      <c r="B791" s="108" t="s">
        <v>422</v>
      </c>
      <c r="C791" s="108"/>
      <c r="D791" s="30" t="s">
        <v>421</v>
      </c>
      <c r="E791" s="14">
        <f>E792</f>
        <v>11043.7</v>
      </c>
      <c r="F791" s="14">
        <f t="shared" si="314"/>
        <v>5521.9</v>
      </c>
      <c r="G791" s="14">
        <f t="shared" si="314"/>
        <v>0</v>
      </c>
    </row>
    <row r="792" spans="1:7" ht="31.5">
      <c r="A792" s="108" t="s">
        <v>84</v>
      </c>
      <c r="B792" s="108" t="s">
        <v>422</v>
      </c>
      <c r="C792" s="108" t="s">
        <v>72</v>
      </c>
      <c r="D792" s="30" t="s">
        <v>96</v>
      </c>
      <c r="E792" s="14">
        <f>E793</f>
        <v>11043.7</v>
      </c>
      <c r="F792" s="14">
        <f t="shared" si="314"/>
        <v>5521.9</v>
      </c>
      <c r="G792" s="14">
        <f t="shared" si="314"/>
        <v>0</v>
      </c>
    </row>
    <row r="793" spans="1:7">
      <c r="A793" s="108" t="s">
        <v>84</v>
      </c>
      <c r="B793" s="108" t="s">
        <v>422</v>
      </c>
      <c r="C793" s="108" t="s">
        <v>119</v>
      </c>
      <c r="D793" s="30" t="s">
        <v>120</v>
      </c>
      <c r="E793" s="14">
        <f>'№ 4 ведом'!F735</f>
        <v>11043.7</v>
      </c>
      <c r="F793" s="14">
        <f>'№ 4 ведом'!G735</f>
        <v>5521.9</v>
      </c>
      <c r="G793" s="14">
        <f>'№ 4 ведом'!H735</f>
        <v>0</v>
      </c>
    </row>
    <row r="794" spans="1:7">
      <c r="A794" s="116" t="s">
        <v>61</v>
      </c>
      <c r="B794" s="116" t="s">
        <v>66</v>
      </c>
      <c r="C794" s="116" t="s">
        <v>66</v>
      </c>
      <c r="D794" s="13" t="s">
        <v>30</v>
      </c>
      <c r="E794" s="117">
        <f>E795+E802+E844</f>
        <v>57983.100000000006</v>
      </c>
      <c r="F794" s="117">
        <f t="shared" ref="F794:G794" si="315">F795+F802+F844</f>
        <v>56023.199999999997</v>
      </c>
      <c r="G794" s="117">
        <f t="shared" si="315"/>
        <v>55910.8</v>
      </c>
    </row>
    <row r="795" spans="1:7">
      <c r="A795" s="108">
        <v>1101</v>
      </c>
      <c r="B795" s="108"/>
      <c r="C795" s="108"/>
      <c r="D795" s="107" t="s">
        <v>378</v>
      </c>
      <c r="E795" s="14">
        <f t="shared" ref="E795:E800" si="316">E796</f>
        <v>412.5</v>
      </c>
      <c r="F795" s="14">
        <f t="shared" ref="F795:G800" si="317">F796</f>
        <v>412.5</v>
      </c>
      <c r="G795" s="14">
        <f t="shared" si="317"/>
        <v>412.5</v>
      </c>
    </row>
    <row r="796" spans="1:7" ht="47.25">
      <c r="A796" s="108">
        <v>1101</v>
      </c>
      <c r="B796" s="108">
        <v>3200000000</v>
      </c>
      <c r="C796" s="108"/>
      <c r="D796" s="107" t="s">
        <v>329</v>
      </c>
      <c r="E796" s="14">
        <f t="shared" si="316"/>
        <v>412.5</v>
      </c>
      <c r="F796" s="14">
        <f t="shared" si="317"/>
        <v>412.5</v>
      </c>
      <c r="G796" s="14">
        <f t="shared" si="317"/>
        <v>412.5</v>
      </c>
    </row>
    <row r="797" spans="1:7" ht="31.5">
      <c r="A797" s="108">
        <v>1101</v>
      </c>
      <c r="B797" s="108">
        <v>3240000000</v>
      </c>
      <c r="C797" s="108"/>
      <c r="D797" s="107" t="s">
        <v>231</v>
      </c>
      <c r="E797" s="14">
        <f t="shared" si="316"/>
        <v>412.5</v>
      </c>
      <c r="F797" s="14">
        <f t="shared" si="317"/>
        <v>412.5</v>
      </c>
      <c r="G797" s="14">
        <f t="shared" si="317"/>
        <v>412.5</v>
      </c>
    </row>
    <row r="798" spans="1:7" ht="47.25">
      <c r="A798" s="108">
        <v>1101</v>
      </c>
      <c r="B798" s="108">
        <v>3240100000</v>
      </c>
      <c r="C798" s="108"/>
      <c r="D798" s="107" t="s">
        <v>232</v>
      </c>
      <c r="E798" s="14">
        <f t="shared" si="316"/>
        <v>412.5</v>
      </c>
      <c r="F798" s="14">
        <f t="shared" si="317"/>
        <v>412.5</v>
      </c>
      <c r="G798" s="14">
        <f t="shared" si="317"/>
        <v>412.5</v>
      </c>
    </row>
    <row r="799" spans="1:7" ht="31.5">
      <c r="A799" s="108">
        <v>1101</v>
      </c>
      <c r="B799" s="108">
        <v>3240120010</v>
      </c>
      <c r="C799" s="108"/>
      <c r="D799" s="107" t="s">
        <v>123</v>
      </c>
      <c r="E799" s="14">
        <f t="shared" si="316"/>
        <v>412.5</v>
      </c>
      <c r="F799" s="14">
        <f t="shared" si="317"/>
        <v>412.5</v>
      </c>
      <c r="G799" s="14">
        <f t="shared" si="317"/>
        <v>412.5</v>
      </c>
    </row>
    <row r="800" spans="1:7" ht="31.5">
      <c r="A800" s="108">
        <v>1101</v>
      </c>
      <c r="B800" s="108">
        <v>3240120010</v>
      </c>
      <c r="C800" s="108" t="s">
        <v>97</v>
      </c>
      <c r="D800" s="107" t="s">
        <v>98</v>
      </c>
      <c r="E800" s="14">
        <f t="shared" si="316"/>
        <v>412.5</v>
      </c>
      <c r="F800" s="14">
        <f t="shared" si="317"/>
        <v>412.5</v>
      </c>
      <c r="G800" s="14">
        <f t="shared" si="317"/>
        <v>412.5</v>
      </c>
    </row>
    <row r="801" spans="1:7">
      <c r="A801" s="108">
        <v>1101</v>
      </c>
      <c r="B801" s="108">
        <v>3240120010</v>
      </c>
      <c r="C801" s="108">
        <v>610</v>
      </c>
      <c r="D801" s="107" t="s">
        <v>104</v>
      </c>
      <c r="E801" s="14">
        <f>'№ 4 ведом'!F557</f>
        <v>412.5</v>
      </c>
      <c r="F801" s="14">
        <f>'№ 4 ведом'!G557</f>
        <v>412.5</v>
      </c>
      <c r="G801" s="14">
        <f>'№ 4 ведом'!H557</f>
        <v>412.5</v>
      </c>
    </row>
    <row r="802" spans="1:7">
      <c r="A802" s="108" t="s">
        <v>86</v>
      </c>
      <c r="B802" s="108" t="s">
        <v>66</v>
      </c>
      <c r="C802" s="108" t="s">
        <v>66</v>
      </c>
      <c r="D802" s="107" t="s">
        <v>62</v>
      </c>
      <c r="E802" s="14">
        <f>E803+E830</f>
        <v>24391</v>
      </c>
      <c r="F802" s="14">
        <f t="shared" ref="F802:G802" si="318">F803+F830</f>
        <v>23704.600000000002</v>
      </c>
      <c r="G802" s="14">
        <f t="shared" si="318"/>
        <v>23255.599999999999</v>
      </c>
    </row>
    <row r="803" spans="1:7" ht="47.25">
      <c r="A803" s="108" t="s">
        <v>86</v>
      </c>
      <c r="B803" s="108">
        <v>3200000000</v>
      </c>
      <c r="C803" s="108"/>
      <c r="D803" s="107" t="s">
        <v>329</v>
      </c>
      <c r="E803" s="14">
        <f>E804</f>
        <v>24155</v>
      </c>
      <c r="F803" s="14">
        <f t="shared" ref="F803:G803" si="319">F804</f>
        <v>23468.600000000002</v>
      </c>
      <c r="G803" s="14">
        <f t="shared" si="319"/>
        <v>23019.599999999999</v>
      </c>
    </row>
    <row r="804" spans="1:7">
      <c r="A804" s="108" t="s">
        <v>86</v>
      </c>
      <c r="B804" s="108">
        <v>3230000000</v>
      </c>
      <c r="C804" s="108"/>
      <c r="D804" s="107" t="s">
        <v>186</v>
      </c>
      <c r="E804" s="14">
        <f>E805+E809+E813+E826</f>
        <v>24155</v>
      </c>
      <c r="F804" s="14">
        <f t="shared" ref="F804:G804" si="320">F805+F809+F813+F826</f>
        <v>23468.600000000002</v>
      </c>
      <c r="G804" s="14">
        <f t="shared" si="320"/>
        <v>23019.599999999999</v>
      </c>
    </row>
    <row r="805" spans="1:7" ht="31.5">
      <c r="A805" s="108" t="s">
        <v>86</v>
      </c>
      <c r="B805" s="108">
        <v>3230100000</v>
      </c>
      <c r="C805" s="108"/>
      <c r="D805" s="107" t="s">
        <v>187</v>
      </c>
      <c r="E805" s="14">
        <f>E806</f>
        <v>20222.599999999999</v>
      </c>
      <c r="F805" s="14">
        <f t="shared" ref="F805:G807" si="321">F806</f>
        <v>20440.5</v>
      </c>
      <c r="G805" s="14">
        <f t="shared" si="321"/>
        <v>20667.099999999999</v>
      </c>
    </row>
    <row r="806" spans="1:7" ht="31.5">
      <c r="A806" s="1" t="s">
        <v>86</v>
      </c>
      <c r="B806" s="108">
        <v>3230120010</v>
      </c>
      <c r="C806" s="108"/>
      <c r="D806" s="107" t="s">
        <v>123</v>
      </c>
      <c r="E806" s="14">
        <f>E807</f>
        <v>20222.599999999999</v>
      </c>
      <c r="F806" s="14">
        <f t="shared" si="321"/>
        <v>20440.5</v>
      </c>
      <c r="G806" s="14">
        <f t="shared" si="321"/>
        <v>20667.099999999999</v>
      </c>
    </row>
    <row r="807" spans="1:7" ht="31.5">
      <c r="A807" s="1" t="s">
        <v>86</v>
      </c>
      <c r="B807" s="108">
        <v>3230120010</v>
      </c>
      <c r="C807" s="108" t="s">
        <v>97</v>
      </c>
      <c r="D807" s="107" t="s">
        <v>98</v>
      </c>
      <c r="E807" s="14">
        <f>E808</f>
        <v>20222.599999999999</v>
      </c>
      <c r="F807" s="14">
        <f t="shared" si="321"/>
        <v>20440.5</v>
      </c>
      <c r="G807" s="14">
        <f t="shared" si="321"/>
        <v>20667.099999999999</v>
      </c>
    </row>
    <row r="808" spans="1:7">
      <c r="A808" s="108" t="s">
        <v>86</v>
      </c>
      <c r="B808" s="108">
        <v>3230120010</v>
      </c>
      <c r="C808" s="108">
        <v>610</v>
      </c>
      <c r="D808" s="107" t="s">
        <v>104</v>
      </c>
      <c r="E808" s="14">
        <f>'№ 4 ведом'!F564</f>
        <v>20222.599999999999</v>
      </c>
      <c r="F808" s="14">
        <f>'№ 4 ведом'!G564</f>
        <v>20440.5</v>
      </c>
      <c r="G808" s="14">
        <f>'№ 4 ведом'!H564</f>
        <v>20667.099999999999</v>
      </c>
    </row>
    <row r="809" spans="1:7" ht="63">
      <c r="A809" s="108" t="s">
        <v>86</v>
      </c>
      <c r="B809" s="108">
        <v>3230200000</v>
      </c>
      <c r="C809" s="108"/>
      <c r="D809" s="107" t="s">
        <v>188</v>
      </c>
      <c r="E809" s="14">
        <f>E810</f>
        <v>404.7</v>
      </c>
      <c r="F809" s="14">
        <f t="shared" ref="F809:G811" si="322">F810</f>
        <v>404.7</v>
      </c>
      <c r="G809" s="14">
        <f t="shared" si="322"/>
        <v>404.7</v>
      </c>
    </row>
    <row r="810" spans="1:7">
      <c r="A810" s="108" t="s">
        <v>86</v>
      </c>
      <c r="B810" s="108">
        <v>3230220040</v>
      </c>
      <c r="C810" s="108"/>
      <c r="D810" s="107" t="s">
        <v>189</v>
      </c>
      <c r="E810" s="14">
        <f>E811</f>
        <v>404.7</v>
      </c>
      <c r="F810" s="14">
        <f t="shared" si="322"/>
        <v>404.7</v>
      </c>
      <c r="G810" s="14">
        <f t="shared" si="322"/>
        <v>404.7</v>
      </c>
    </row>
    <row r="811" spans="1:7" ht="31.5">
      <c r="A811" s="108" t="s">
        <v>86</v>
      </c>
      <c r="B811" s="108">
        <v>3230220040</v>
      </c>
      <c r="C811" s="108" t="s">
        <v>97</v>
      </c>
      <c r="D811" s="107" t="s">
        <v>98</v>
      </c>
      <c r="E811" s="14">
        <f>E812</f>
        <v>404.7</v>
      </c>
      <c r="F811" s="14">
        <f t="shared" si="322"/>
        <v>404.7</v>
      </c>
      <c r="G811" s="14">
        <f t="shared" si="322"/>
        <v>404.7</v>
      </c>
    </row>
    <row r="812" spans="1:7">
      <c r="A812" s="108" t="s">
        <v>86</v>
      </c>
      <c r="B812" s="108">
        <v>3230220040</v>
      </c>
      <c r="C812" s="108">
        <v>610</v>
      </c>
      <c r="D812" s="107" t="s">
        <v>104</v>
      </c>
      <c r="E812" s="14">
        <f>'№ 4 ведом'!F568</f>
        <v>404.7</v>
      </c>
      <c r="F812" s="14">
        <f>'№ 4 ведом'!G568</f>
        <v>404.7</v>
      </c>
      <c r="G812" s="14">
        <f>'№ 4 ведом'!H568</f>
        <v>404.7</v>
      </c>
    </row>
    <row r="813" spans="1:7" ht="31.5">
      <c r="A813" s="108" t="s">
        <v>86</v>
      </c>
      <c r="B813" s="108">
        <v>3230300000</v>
      </c>
      <c r="C813" s="108"/>
      <c r="D813" s="107" t="s">
        <v>190</v>
      </c>
      <c r="E813" s="14">
        <f>E814+E821</f>
        <v>2623.5</v>
      </c>
      <c r="F813" s="14">
        <f t="shared" ref="F813:G813" si="323">F814+F821</f>
        <v>2623.4</v>
      </c>
      <c r="G813" s="14">
        <f t="shared" si="323"/>
        <v>1947.8000000000002</v>
      </c>
    </row>
    <row r="814" spans="1:7" ht="31.5">
      <c r="A814" s="108" t="s">
        <v>86</v>
      </c>
      <c r="B814" s="108">
        <v>3230320300</v>
      </c>
      <c r="C814" s="108"/>
      <c r="D814" s="107" t="s">
        <v>191</v>
      </c>
      <c r="E814" s="14">
        <f>E815+E817+E819</f>
        <v>1198.7</v>
      </c>
      <c r="F814" s="14">
        <f t="shared" ref="F814:G814" si="324">F815+F817+F819</f>
        <v>1048.7</v>
      </c>
      <c r="G814" s="14">
        <f t="shared" si="324"/>
        <v>1048.7</v>
      </c>
    </row>
    <row r="815" spans="1:7" ht="63">
      <c r="A815" s="108" t="s">
        <v>86</v>
      </c>
      <c r="B815" s="108">
        <v>3230320300</v>
      </c>
      <c r="C815" s="108" t="s">
        <v>68</v>
      </c>
      <c r="D815" s="107" t="s">
        <v>1</v>
      </c>
      <c r="E815" s="14">
        <f>E816</f>
        <v>379.2</v>
      </c>
      <c r="F815" s="14">
        <f t="shared" ref="F815:G815" si="325">F816</f>
        <v>379.2</v>
      </c>
      <c r="G815" s="14">
        <f t="shared" si="325"/>
        <v>379.2</v>
      </c>
    </row>
    <row r="816" spans="1:7" ht="31.5">
      <c r="A816" s="108" t="s">
        <v>86</v>
      </c>
      <c r="B816" s="108">
        <v>3230320300</v>
      </c>
      <c r="C816" s="108">
        <v>120</v>
      </c>
      <c r="D816" s="107" t="s">
        <v>217</v>
      </c>
      <c r="E816" s="14">
        <f>'№ 4 ведом'!F572</f>
        <v>379.2</v>
      </c>
      <c r="F816" s="14">
        <f>'№ 4 ведом'!G572</f>
        <v>379.2</v>
      </c>
      <c r="G816" s="14">
        <f>'№ 4 ведом'!H572</f>
        <v>379.2</v>
      </c>
    </row>
    <row r="817" spans="1:7" ht="31.5">
      <c r="A817" s="108" t="s">
        <v>86</v>
      </c>
      <c r="B817" s="108">
        <v>3230320300</v>
      </c>
      <c r="C817" s="108" t="s">
        <v>69</v>
      </c>
      <c r="D817" s="107" t="s">
        <v>95</v>
      </c>
      <c r="E817" s="14">
        <f>E818</f>
        <v>640.1</v>
      </c>
      <c r="F817" s="14">
        <f t="shared" ref="F817:G817" si="326">F818</f>
        <v>490.1</v>
      </c>
      <c r="G817" s="14">
        <f t="shared" si="326"/>
        <v>490.1</v>
      </c>
    </row>
    <row r="818" spans="1:7" ht="31.5">
      <c r="A818" s="108" t="s">
        <v>86</v>
      </c>
      <c r="B818" s="108">
        <v>3230320300</v>
      </c>
      <c r="C818" s="108">
        <v>240</v>
      </c>
      <c r="D818" s="107" t="s">
        <v>216</v>
      </c>
      <c r="E818" s="14">
        <f>'№ 4 ведом'!F574</f>
        <v>640.1</v>
      </c>
      <c r="F818" s="14">
        <f>'№ 4 ведом'!G574</f>
        <v>490.1</v>
      </c>
      <c r="G818" s="14">
        <f>'№ 4 ведом'!H574</f>
        <v>490.1</v>
      </c>
    </row>
    <row r="819" spans="1:7">
      <c r="A819" s="108" t="s">
        <v>86</v>
      </c>
      <c r="B819" s="108">
        <v>3230320300</v>
      </c>
      <c r="C819" s="108" t="s">
        <v>70</v>
      </c>
      <c r="D819" s="107" t="s">
        <v>71</v>
      </c>
      <c r="E819" s="14">
        <f>E820</f>
        <v>179.4</v>
      </c>
      <c r="F819" s="14">
        <f t="shared" ref="F819:G819" si="327">F820</f>
        <v>179.4</v>
      </c>
      <c r="G819" s="14">
        <f t="shared" si="327"/>
        <v>179.4</v>
      </c>
    </row>
    <row r="820" spans="1:7">
      <c r="A820" s="108" t="s">
        <v>86</v>
      </c>
      <c r="B820" s="108">
        <v>3230320300</v>
      </c>
      <c r="C820" s="108">
        <v>850</v>
      </c>
      <c r="D820" s="107" t="s">
        <v>100</v>
      </c>
      <c r="E820" s="14">
        <f>'№ 4 ведом'!F576</f>
        <v>179.4</v>
      </c>
      <c r="F820" s="14">
        <f>'№ 4 ведом'!G576</f>
        <v>179.4</v>
      </c>
      <c r="G820" s="14">
        <f>'№ 4 ведом'!H576</f>
        <v>179.4</v>
      </c>
    </row>
    <row r="821" spans="1:7">
      <c r="A821" s="108" t="s">
        <v>86</v>
      </c>
      <c r="B821" s="108">
        <v>3230320320</v>
      </c>
      <c r="C821" s="108"/>
      <c r="D821" s="107" t="s">
        <v>139</v>
      </c>
      <c r="E821" s="14">
        <f>E822+E824</f>
        <v>1424.8000000000002</v>
      </c>
      <c r="F821" s="14">
        <f t="shared" ref="F821:G821" si="328">F822+F824</f>
        <v>1574.7</v>
      </c>
      <c r="G821" s="14">
        <f t="shared" si="328"/>
        <v>899.1</v>
      </c>
    </row>
    <row r="822" spans="1:7" ht="31.5">
      <c r="A822" s="108" t="s">
        <v>86</v>
      </c>
      <c r="B822" s="108">
        <v>3230320320</v>
      </c>
      <c r="C822" s="108" t="s">
        <v>69</v>
      </c>
      <c r="D822" s="107" t="s">
        <v>95</v>
      </c>
      <c r="E822" s="14">
        <f>E823</f>
        <v>749.1</v>
      </c>
      <c r="F822" s="14">
        <f t="shared" ref="F822:G822" si="329">F823</f>
        <v>899</v>
      </c>
      <c r="G822" s="14">
        <f t="shared" si="329"/>
        <v>899.1</v>
      </c>
    </row>
    <row r="823" spans="1:7" ht="31.5">
      <c r="A823" s="108" t="s">
        <v>86</v>
      </c>
      <c r="B823" s="108">
        <v>3230320320</v>
      </c>
      <c r="C823" s="108">
        <v>240</v>
      </c>
      <c r="D823" s="107" t="s">
        <v>216</v>
      </c>
      <c r="E823" s="14">
        <f>'№ 4 ведом'!F579</f>
        <v>749.1</v>
      </c>
      <c r="F823" s="14">
        <f>'№ 4 ведом'!G579</f>
        <v>899</v>
      </c>
      <c r="G823" s="14">
        <f>'№ 4 ведом'!H579</f>
        <v>899.1</v>
      </c>
    </row>
    <row r="824" spans="1:7" ht="31.5">
      <c r="A824" s="108" t="s">
        <v>86</v>
      </c>
      <c r="B824" s="108">
        <v>3230320320</v>
      </c>
      <c r="C824" s="108" t="s">
        <v>97</v>
      </c>
      <c r="D824" s="107" t="s">
        <v>98</v>
      </c>
      <c r="E824" s="14">
        <f>E825</f>
        <v>675.7</v>
      </c>
      <c r="F824" s="14">
        <f t="shared" ref="F824:G824" si="330">F825</f>
        <v>675.7</v>
      </c>
      <c r="G824" s="14">
        <f t="shared" si="330"/>
        <v>0</v>
      </c>
    </row>
    <row r="825" spans="1:7">
      <c r="A825" s="108" t="s">
        <v>86</v>
      </c>
      <c r="B825" s="108">
        <v>3230320320</v>
      </c>
      <c r="C825" s="108">
        <v>610</v>
      </c>
      <c r="D825" s="107" t="s">
        <v>104</v>
      </c>
      <c r="E825" s="14">
        <f>'№ 4 ведом'!F581</f>
        <v>675.7</v>
      </c>
      <c r="F825" s="14">
        <f>'№ 4 ведом'!G581</f>
        <v>675.7</v>
      </c>
      <c r="G825" s="14">
        <f>'№ 4 ведом'!H581</f>
        <v>0</v>
      </c>
    </row>
    <row r="826" spans="1:7">
      <c r="A826" s="108" t="s">
        <v>86</v>
      </c>
      <c r="B826" s="108">
        <v>3230500000</v>
      </c>
      <c r="C826" s="108"/>
      <c r="D826" s="107" t="s">
        <v>314</v>
      </c>
      <c r="E826" s="14">
        <f>E827</f>
        <v>904.2</v>
      </c>
      <c r="F826" s="14">
        <f t="shared" ref="F826:G828" si="331">F827</f>
        <v>0</v>
      </c>
      <c r="G826" s="14">
        <f t="shared" si="331"/>
        <v>0</v>
      </c>
    </row>
    <row r="827" spans="1:7" ht="31.5">
      <c r="A827" s="108" t="s">
        <v>86</v>
      </c>
      <c r="B827" s="108">
        <v>3230520300</v>
      </c>
      <c r="C827" s="108"/>
      <c r="D827" s="107" t="s">
        <v>303</v>
      </c>
      <c r="E827" s="14">
        <f>E828</f>
        <v>904.2</v>
      </c>
      <c r="F827" s="14">
        <f t="shared" si="331"/>
        <v>0</v>
      </c>
      <c r="G827" s="14">
        <f t="shared" si="331"/>
        <v>0</v>
      </c>
    </row>
    <row r="828" spans="1:7" ht="31.5">
      <c r="A828" s="108" t="s">
        <v>86</v>
      </c>
      <c r="B828" s="108">
        <v>3230520300</v>
      </c>
      <c r="C828" s="108" t="s">
        <v>69</v>
      </c>
      <c r="D828" s="107" t="s">
        <v>95</v>
      </c>
      <c r="E828" s="14">
        <f>E829</f>
        <v>904.2</v>
      </c>
      <c r="F828" s="14">
        <f t="shared" si="331"/>
        <v>0</v>
      </c>
      <c r="G828" s="14">
        <f t="shared" si="331"/>
        <v>0</v>
      </c>
    </row>
    <row r="829" spans="1:7" ht="31.5">
      <c r="A829" s="108" t="s">
        <v>86</v>
      </c>
      <c r="B829" s="108">
        <v>3230520300</v>
      </c>
      <c r="C829" s="108">
        <v>240</v>
      </c>
      <c r="D829" s="107" t="s">
        <v>216</v>
      </c>
      <c r="E829" s="14">
        <f>'№ 4 ведом'!F585</f>
        <v>904.2</v>
      </c>
      <c r="F829" s="14">
        <f>'№ 4 ведом'!G585</f>
        <v>0</v>
      </c>
      <c r="G829" s="14">
        <f>'№ 4 ведом'!H585</f>
        <v>0</v>
      </c>
    </row>
    <row r="830" spans="1:7" ht="31.5">
      <c r="A830" s="108" t="s">
        <v>86</v>
      </c>
      <c r="B830" s="108">
        <v>3500000000</v>
      </c>
      <c r="C830" s="108"/>
      <c r="D830" s="107" t="s">
        <v>330</v>
      </c>
      <c r="E830" s="14">
        <f>E831</f>
        <v>236</v>
      </c>
      <c r="F830" s="14">
        <f t="shared" ref="F830:G830" si="332">F831</f>
        <v>236</v>
      </c>
      <c r="G830" s="14">
        <f t="shared" si="332"/>
        <v>236</v>
      </c>
    </row>
    <row r="831" spans="1:7" ht="31.5">
      <c r="A831" s="108" t="s">
        <v>86</v>
      </c>
      <c r="B831" s="108">
        <v>3520000000</v>
      </c>
      <c r="C831" s="108"/>
      <c r="D831" s="107" t="s">
        <v>228</v>
      </c>
      <c r="E831" s="14">
        <f>E832+E836+E840</f>
        <v>236</v>
      </c>
      <c r="F831" s="14">
        <f t="shared" ref="F831:G831" si="333">F832+F836+F840</f>
        <v>236</v>
      </c>
      <c r="G831" s="14">
        <f t="shared" si="333"/>
        <v>236</v>
      </c>
    </row>
    <row r="832" spans="1:7" ht="31.5">
      <c r="A832" s="108" t="s">
        <v>86</v>
      </c>
      <c r="B832" s="108">
        <v>3520300000</v>
      </c>
      <c r="C832" s="108"/>
      <c r="D832" s="30" t="s">
        <v>264</v>
      </c>
      <c r="E832" s="14">
        <f>E833</f>
        <v>55.6</v>
      </c>
      <c r="F832" s="14">
        <f t="shared" ref="F832:G834" si="334">F833</f>
        <v>55.6</v>
      </c>
      <c r="G832" s="14">
        <f t="shared" si="334"/>
        <v>55.6</v>
      </c>
    </row>
    <row r="833" spans="1:7">
      <c r="A833" s="108" t="s">
        <v>86</v>
      </c>
      <c r="B833" s="108">
        <v>3520320300</v>
      </c>
      <c r="C833" s="108"/>
      <c r="D833" s="30" t="s">
        <v>265</v>
      </c>
      <c r="E833" s="14">
        <f>E834</f>
        <v>55.6</v>
      </c>
      <c r="F833" s="14">
        <f t="shared" si="334"/>
        <v>55.6</v>
      </c>
      <c r="G833" s="14">
        <f t="shared" si="334"/>
        <v>55.6</v>
      </c>
    </row>
    <row r="834" spans="1:7" ht="31.5">
      <c r="A834" s="108" t="s">
        <v>86</v>
      </c>
      <c r="B834" s="108">
        <v>3520320300</v>
      </c>
      <c r="C834" s="108" t="s">
        <v>97</v>
      </c>
      <c r="D834" s="30" t="s">
        <v>98</v>
      </c>
      <c r="E834" s="14">
        <f>E835</f>
        <v>55.6</v>
      </c>
      <c r="F834" s="14">
        <f t="shared" si="334"/>
        <v>55.6</v>
      </c>
      <c r="G834" s="14">
        <f t="shared" si="334"/>
        <v>55.6</v>
      </c>
    </row>
    <row r="835" spans="1:7">
      <c r="A835" s="108" t="s">
        <v>86</v>
      </c>
      <c r="B835" s="108">
        <v>3520320300</v>
      </c>
      <c r="C835" s="108">
        <v>610</v>
      </c>
      <c r="D835" s="30" t="s">
        <v>104</v>
      </c>
      <c r="E835" s="14">
        <f>'№ 4 ведом'!F591</f>
        <v>55.6</v>
      </c>
      <c r="F835" s="14">
        <f>'№ 4 ведом'!G591</f>
        <v>55.6</v>
      </c>
      <c r="G835" s="14">
        <f>'№ 4 ведом'!H591</f>
        <v>55.6</v>
      </c>
    </row>
    <row r="836" spans="1:7" ht="31.5">
      <c r="A836" s="108" t="s">
        <v>86</v>
      </c>
      <c r="B836" s="108">
        <v>3520400000</v>
      </c>
      <c r="C836" s="108"/>
      <c r="D836" s="107" t="s">
        <v>270</v>
      </c>
      <c r="E836" s="14">
        <f>E837</f>
        <v>121.4</v>
      </c>
      <c r="F836" s="14">
        <f t="shared" ref="F836:G838" si="335">F837</f>
        <v>121.4</v>
      </c>
      <c r="G836" s="14">
        <f t="shared" si="335"/>
        <v>121.4</v>
      </c>
    </row>
    <row r="837" spans="1:7">
      <c r="A837" s="108" t="s">
        <v>86</v>
      </c>
      <c r="B837" s="108">
        <v>3520420300</v>
      </c>
      <c r="C837" s="108"/>
      <c r="D837" s="107" t="s">
        <v>271</v>
      </c>
      <c r="E837" s="14">
        <f>E838</f>
        <v>121.4</v>
      </c>
      <c r="F837" s="14">
        <f t="shared" si="335"/>
        <v>121.4</v>
      </c>
      <c r="G837" s="14">
        <f t="shared" si="335"/>
        <v>121.4</v>
      </c>
    </row>
    <row r="838" spans="1:7" ht="31.5">
      <c r="A838" s="108" t="s">
        <v>86</v>
      </c>
      <c r="B838" s="108">
        <v>3520420300</v>
      </c>
      <c r="C838" s="108" t="s">
        <v>97</v>
      </c>
      <c r="D838" s="30" t="s">
        <v>98</v>
      </c>
      <c r="E838" s="14">
        <f>E839</f>
        <v>121.4</v>
      </c>
      <c r="F838" s="14">
        <f t="shared" si="335"/>
        <v>121.4</v>
      </c>
      <c r="G838" s="14">
        <f t="shared" si="335"/>
        <v>121.4</v>
      </c>
    </row>
    <row r="839" spans="1:7">
      <c r="A839" s="108" t="s">
        <v>86</v>
      </c>
      <c r="B839" s="108">
        <v>3520420300</v>
      </c>
      <c r="C839" s="108">
        <v>610</v>
      </c>
      <c r="D839" s="30" t="s">
        <v>104</v>
      </c>
      <c r="E839" s="14">
        <f>'№ 4 ведом'!F595</f>
        <v>121.4</v>
      </c>
      <c r="F839" s="14">
        <f>'№ 4 ведом'!G595</f>
        <v>121.4</v>
      </c>
      <c r="G839" s="14">
        <f>'№ 4 ведом'!H595</f>
        <v>121.4</v>
      </c>
    </row>
    <row r="840" spans="1:7" ht="31.5">
      <c r="A840" s="108" t="s">
        <v>86</v>
      </c>
      <c r="B840" s="108">
        <v>3520500000</v>
      </c>
      <c r="C840" s="108"/>
      <c r="D840" s="107" t="s">
        <v>269</v>
      </c>
      <c r="E840" s="14">
        <f>E841</f>
        <v>59</v>
      </c>
      <c r="F840" s="14">
        <f t="shared" ref="F840:G842" si="336">F841</f>
        <v>59</v>
      </c>
      <c r="G840" s="14">
        <f t="shared" si="336"/>
        <v>59</v>
      </c>
    </row>
    <row r="841" spans="1:7">
      <c r="A841" s="108" t="s">
        <v>86</v>
      </c>
      <c r="B841" s="108">
        <v>3520520200</v>
      </c>
      <c r="C841" s="108"/>
      <c r="D841" s="107" t="s">
        <v>252</v>
      </c>
      <c r="E841" s="14">
        <f>E842</f>
        <v>59</v>
      </c>
      <c r="F841" s="14">
        <f t="shared" si="336"/>
        <v>59</v>
      </c>
      <c r="G841" s="14">
        <f t="shared" si="336"/>
        <v>59</v>
      </c>
    </row>
    <row r="842" spans="1:7" ht="31.5">
      <c r="A842" s="108" t="s">
        <v>86</v>
      </c>
      <c r="B842" s="108">
        <v>3520520200</v>
      </c>
      <c r="C842" s="108" t="s">
        <v>97</v>
      </c>
      <c r="D842" s="30" t="s">
        <v>98</v>
      </c>
      <c r="E842" s="14">
        <f>E843</f>
        <v>59</v>
      </c>
      <c r="F842" s="14">
        <f t="shared" si="336"/>
        <v>59</v>
      </c>
      <c r="G842" s="14">
        <f t="shared" si="336"/>
        <v>59</v>
      </c>
    </row>
    <row r="843" spans="1:7">
      <c r="A843" s="108" t="s">
        <v>86</v>
      </c>
      <c r="B843" s="108">
        <v>3520520200</v>
      </c>
      <c r="C843" s="108">
        <v>610</v>
      </c>
      <c r="D843" s="30" t="s">
        <v>104</v>
      </c>
      <c r="E843" s="14">
        <f>'№ 4 ведом'!F599</f>
        <v>59</v>
      </c>
      <c r="F843" s="14">
        <f>'№ 4 ведом'!G599</f>
        <v>59</v>
      </c>
      <c r="G843" s="14">
        <f>'№ 4 ведом'!H599</f>
        <v>59</v>
      </c>
    </row>
    <row r="844" spans="1:7">
      <c r="A844" s="108">
        <v>1103</v>
      </c>
      <c r="B844" s="108" t="s">
        <v>66</v>
      </c>
      <c r="C844" s="108" t="s">
        <v>66</v>
      </c>
      <c r="D844" s="107" t="s">
        <v>230</v>
      </c>
      <c r="E844" s="14">
        <f>E851+E867+E845</f>
        <v>33179.600000000006</v>
      </c>
      <c r="F844" s="14">
        <f>F851+F867+F845</f>
        <v>31906.1</v>
      </c>
      <c r="G844" s="14">
        <f>G851+G867+G845</f>
        <v>32242.7</v>
      </c>
    </row>
    <row r="845" spans="1:7" ht="47.25">
      <c r="A845" s="108">
        <v>1103</v>
      </c>
      <c r="B845" s="108">
        <v>3100000000</v>
      </c>
      <c r="C845" s="108"/>
      <c r="D845" s="107" t="s">
        <v>328</v>
      </c>
      <c r="E845" s="14">
        <f>E846</f>
        <v>3106.5</v>
      </c>
      <c r="F845" s="14">
        <f t="shared" ref="F845:G849" si="337">F846</f>
        <v>3144.1</v>
      </c>
      <c r="G845" s="14">
        <f t="shared" si="337"/>
        <v>3183.7</v>
      </c>
    </row>
    <row r="846" spans="1:7">
      <c r="A846" s="108">
        <v>1103</v>
      </c>
      <c r="B846" s="108">
        <v>3120000000</v>
      </c>
      <c r="C846" s="108"/>
      <c r="D846" s="107" t="s">
        <v>121</v>
      </c>
      <c r="E846" s="14">
        <f>E847</f>
        <v>3106.5</v>
      </c>
      <c r="F846" s="14">
        <f t="shared" si="337"/>
        <v>3144.1</v>
      </c>
      <c r="G846" s="14">
        <f t="shared" si="337"/>
        <v>3183.7</v>
      </c>
    </row>
    <row r="847" spans="1:7" ht="47.25">
      <c r="A847" s="108">
        <v>1103</v>
      </c>
      <c r="B847" s="108">
        <v>3120100000</v>
      </c>
      <c r="C847" s="108"/>
      <c r="D847" s="107" t="s">
        <v>122</v>
      </c>
      <c r="E847" s="14">
        <f>E848</f>
        <v>3106.5</v>
      </c>
      <c r="F847" s="14">
        <f t="shared" si="337"/>
        <v>3144.1</v>
      </c>
      <c r="G847" s="14">
        <f t="shared" si="337"/>
        <v>3183.7</v>
      </c>
    </row>
    <row r="848" spans="1:7" ht="31.5">
      <c r="A848" s="108">
        <v>1103</v>
      </c>
      <c r="B848" s="108">
        <v>3120120030</v>
      </c>
      <c r="C848" s="108"/>
      <c r="D848" s="107" t="s">
        <v>370</v>
      </c>
      <c r="E848" s="14">
        <f>E849</f>
        <v>3106.5</v>
      </c>
      <c r="F848" s="14">
        <f t="shared" si="337"/>
        <v>3144.1</v>
      </c>
      <c r="G848" s="14">
        <f t="shared" si="337"/>
        <v>3183.7</v>
      </c>
    </row>
    <row r="849" spans="1:7" ht="31.5">
      <c r="A849" s="108">
        <v>1103</v>
      </c>
      <c r="B849" s="108">
        <v>3120120030</v>
      </c>
      <c r="C849" s="108" t="s">
        <v>97</v>
      </c>
      <c r="D849" s="107" t="s">
        <v>98</v>
      </c>
      <c r="E849" s="14">
        <f>E850</f>
        <v>3106.5</v>
      </c>
      <c r="F849" s="14">
        <f t="shared" si="337"/>
        <v>3144.1</v>
      </c>
      <c r="G849" s="14">
        <f t="shared" si="337"/>
        <v>3183.7</v>
      </c>
    </row>
    <row r="850" spans="1:7">
      <c r="A850" s="108">
        <v>1103</v>
      </c>
      <c r="B850" s="108">
        <v>3120120030</v>
      </c>
      <c r="C850" s="108">
        <v>610</v>
      </c>
      <c r="D850" s="107" t="s">
        <v>104</v>
      </c>
      <c r="E850" s="14">
        <f>'№ 4 ведом'!F999</f>
        <v>3106.5</v>
      </c>
      <c r="F850" s="14">
        <f>'№ 4 ведом'!G999</f>
        <v>3144.1</v>
      </c>
      <c r="G850" s="14">
        <f>'№ 4 ведом'!H999</f>
        <v>3183.7</v>
      </c>
    </row>
    <row r="851" spans="1:7" ht="47.25">
      <c r="A851" s="108">
        <v>1103</v>
      </c>
      <c r="B851" s="108">
        <v>3200000000</v>
      </c>
      <c r="C851" s="108"/>
      <c r="D851" s="107" t="s">
        <v>329</v>
      </c>
      <c r="E851" s="14">
        <f>E852</f>
        <v>27116.400000000005</v>
      </c>
      <c r="F851" s="14">
        <f t="shared" ref="F851:G851" si="338">F852</f>
        <v>26789.9</v>
      </c>
      <c r="G851" s="14">
        <f t="shared" si="338"/>
        <v>27086.9</v>
      </c>
    </row>
    <row r="852" spans="1:7" ht="31.5">
      <c r="A852" s="108">
        <v>1103</v>
      </c>
      <c r="B852" s="108">
        <v>3240000000</v>
      </c>
      <c r="C852" s="108"/>
      <c r="D852" s="107" t="s">
        <v>231</v>
      </c>
      <c r="E852" s="14">
        <f>E853+E863</f>
        <v>27116.400000000005</v>
      </c>
      <c r="F852" s="14">
        <f>F853+F863</f>
        <v>26789.9</v>
      </c>
      <c r="G852" s="14">
        <f>G853+G863</f>
        <v>27086.9</v>
      </c>
    </row>
    <row r="853" spans="1:7" ht="47.25">
      <c r="A853" s="108">
        <v>1103</v>
      </c>
      <c r="B853" s="108">
        <v>3240100000</v>
      </c>
      <c r="C853" s="108"/>
      <c r="D853" s="107" t="s">
        <v>232</v>
      </c>
      <c r="E853" s="14">
        <f>E854+E857+E860</f>
        <v>26671.400000000005</v>
      </c>
      <c r="F853" s="14">
        <f t="shared" ref="F853:G853" si="339">F854+F857+F860</f>
        <v>26789.9</v>
      </c>
      <c r="G853" s="14">
        <f t="shared" si="339"/>
        <v>27086.9</v>
      </c>
    </row>
    <row r="854" spans="1:7" ht="31.5">
      <c r="A854" s="108">
        <v>1103</v>
      </c>
      <c r="B854" s="108">
        <v>3240120010</v>
      </c>
      <c r="C854" s="108"/>
      <c r="D854" s="107" t="s">
        <v>123</v>
      </c>
      <c r="E854" s="14">
        <f>E855</f>
        <v>21400.800000000003</v>
      </c>
      <c r="F854" s="14">
        <f t="shared" ref="F854:G855" si="340">F855</f>
        <v>21684</v>
      </c>
      <c r="G854" s="14">
        <f t="shared" si="340"/>
        <v>21981</v>
      </c>
    </row>
    <row r="855" spans="1:7" ht="31.5">
      <c r="A855" s="108">
        <v>1103</v>
      </c>
      <c r="B855" s="108">
        <v>3240120010</v>
      </c>
      <c r="C855" s="108" t="s">
        <v>97</v>
      </c>
      <c r="D855" s="107" t="s">
        <v>98</v>
      </c>
      <c r="E855" s="14">
        <f>E856</f>
        <v>21400.800000000003</v>
      </c>
      <c r="F855" s="14">
        <f t="shared" si="340"/>
        <v>21684</v>
      </c>
      <c r="G855" s="14">
        <f t="shared" si="340"/>
        <v>21981</v>
      </c>
    </row>
    <row r="856" spans="1:7">
      <c r="A856" s="108">
        <v>1103</v>
      </c>
      <c r="B856" s="108">
        <v>3240120010</v>
      </c>
      <c r="C856" s="108">
        <v>610</v>
      </c>
      <c r="D856" s="107" t="s">
        <v>104</v>
      </c>
      <c r="E856" s="14">
        <f>'№ 4 ведом'!F606</f>
        <v>21400.800000000003</v>
      </c>
      <c r="F856" s="14">
        <f>'№ 4 ведом'!G606</f>
        <v>21684</v>
      </c>
      <c r="G856" s="14">
        <f>'№ 4 ведом'!H606</f>
        <v>21981</v>
      </c>
    </row>
    <row r="857" spans="1:7" ht="47.25">
      <c r="A857" s="108">
        <v>1103</v>
      </c>
      <c r="B857" s="108" t="s">
        <v>354</v>
      </c>
      <c r="C857" s="102"/>
      <c r="D857" s="63" t="s">
        <v>377</v>
      </c>
      <c r="E857" s="14">
        <f>E858</f>
        <v>5105.9000000000005</v>
      </c>
      <c r="F857" s="14">
        <f t="shared" ref="F857:G858" si="341">F858</f>
        <v>5105.9000000000005</v>
      </c>
      <c r="G857" s="14">
        <f t="shared" si="341"/>
        <v>5105.9000000000005</v>
      </c>
    </row>
    <row r="858" spans="1:7" ht="31.5">
      <c r="A858" s="108">
        <v>1103</v>
      </c>
      <c r="B858" s="108" t="s">
        <v>354</v>
      </c>
      <c r="C858" s="108" t="s">
        <v>97</v>
      </c>
      <c r="D858" s="107" t="s">
        <v>98</v>
      </c>
      <c r="E858" s="14">
        <f>E859</f>
        <v>5105.9000000000005</v>
      </c>
      <c r="F858" s="14">
        <f t="shared" si="341"/>
        <v>5105.9000000000005</v>
      </c>
      <c r="G858" s="14">
        <f t="shared" si="341"/>
        <v>5105.9000000000005</v>
      </c>
    </row>
    <row r="859" spans="1:7">
      <c r="A859" s="108">
        <v>1103</v>
      </c>
      <c r="B859" s="108" t="s">
        <v>354</v>
      </c>
      <c r="C859" s="108">
        <v>610</v>
      </c>
      <c r="D859" s="107" t="s">
        <v>104</v>
      </c>
      <c r="E859" s="14">
        <f>'№ 4 ведом'!F609</f>
        <v>5105.9000000000005</v>
      </c>
      <c r="F859" s="14">
        <f>'№ 4 ведом'!G609</f>
        <v>5105.9000000000005</v>
      </c>
      <c r="G859" s="14">
        <f>'№ 4 ведом'!H609</f>
        <v>5105.9000000000005</v>
      </c>
    </row>
    <row r="860" spans="1:7" ht="31.5">
      <c r="A860" s="108">
        <v>1103</v>
      </c>
      <c r="B860" s="108" t="s">
        <v>802</v>
      </c>
      <c r="C860" s="108"/>
      <c r="D860" s="33" t="s">
        <v>801</v>
      </c>
      <c r="E860" s="14">
        <f>E861</f>
        <v>164.7</v>
      </c>
      <c r="F860" s="14">
        <f t="shared" ref="F860:G861" si="342">F861</f>
        <v>0</v>
      </c>
      <c r="G860" s="14">
        <f t="shared" si="342"/>
        <v>0</v>
      </c>
    </row>
    <row r="861" spans="1:7" ht="31.5">
      <c r="A861" s="108">
        <v>1103</v>
      </c>
      <c r="B861" s="108" t="s">
        <v>802</v>
      </c>
      <c r="C861" s="108" t="s">
        <v>97</v>
      </c>
      <c r="D861" s="107" t="s">
        <v>98</v>
      </c>
      <c r="E861" s="14">
        <f>E862</f>
        <v>164.7</v>
      </c>
      <c r="F861" s="14">
        <f t="shared" si="342"/>
        <v>0</v>
      </c>
      <c r="G861" s="14">
        <f t="shared" si="342"/>
        <v>0</v>
      </c>
    </row>
    <row r="862" spans="1:7">
      <c r="A862" s="108">
        <v>1103</v>
      </c>
      <c r="B862" s="108" t="s">
        <v>802</v>
      </c>
      <c r="C862" s="108">
        <v>610</v>
      </c>
      <c r="D862" s="107" t="s">
        <v>104</v>
      </c>
      <c r="E862" s="14">
        <f>'№ 4 ведом'!F612</f>
        <v>164.7</v>
      </c>
      <c r="F862" s="14">
        <f>'№ 4 ведом'!G612</f>
        <v>0</v>
      </c>
      <c r="G862" s="14">
        <f>'№ 4 ведом'!H612</f>
        <v>0</v>
      </c>
    </row>
    <row r="863" spans="1:7" ht="47.25">
      <c r="A863" s="108">
        <v>1103</v>
      </c>
      <c r="B863" s="108">
        <v>3240200000</v>
      </c>
      <c r="C863" s="108"/>
      <c r="D863" s="107" t="s">
        <v>433</v>
      </c>
      <c r="E863" s="14">
        <f>E864</f>
        <v>445</v>
      </c>
      <c r="F863" s="14">
        <f t="shared" ref="F863:G865" si="343">F864</f>
        <v>0</v>
      </c>
      <c r="G863" s="14">
        <f t="shared" si="343"/>
        <v>0</v>
      </c>
    </row>
    <row r="864" spans="1:7" ht="63">
      <c r="A864" s="108">
        <v>1103</v>
      </c>
      <c r="B864" s="8" t="s">
        <v>434</v>
      </c>
      <c r="C864" s="50"/>
      <c r="D864" s="5" t="s">
        <v>435</v>
      </c>
      <c r="E864" s="14">
        <f>E865</f>
        <v>445</v>
      </c>
      <c r="F864" s="14">
        <f t="shared" si="343"/>
        <v>0</v>
      </c>
      <c r="G864" s="14">
        <f t="shared" si="343"/>
        <v>0</v>
      </c>
    </row>
    <row r="865" spans="1:7" ht="31.5">
      <c r="A865" s="108">
        <v>1103</v>
      </c>
      <c r="B865" s="8" t="s">
        <v>434</v>
      </c>
      <c r="C865" s="50" t="s">
        <v>97</v>
      </c>
      <c r="D865" s="107" t="s">
        <v>98</v>
      </c>
      <c r="E865" s="14">
        <f>E866</f>
        <v>445</v>
      </c>
      <c r="F865" s="14">
        <f t="shared" si="343"/>
        <v>0</v>
      </c>
      <c r="G865" s="14">
        <f t="shared" si="343"/>
        <v>0</v>
      </c>
    </row>
    <row r="866" spans="1:7">
      <c r="A866" s="108">
        <v>1103</v>
      </c>
      <c r="B866" s="8" t="s">
        <v>434</v>
      </c>
      <c r="C866" s="50">
        <v>610</v>
      </c>
      <c r="D866" s="107" t="s">
        <v>104</v>
      </c>
      <c r="E866" s="14">
        <f>'№ 4 ведом'!F616</f>
        <v>445</v>
      </c>
      <c r="F866" s="14">
        <f>'№ 4 ведом'!G616</f>
        <v>0</v>
      </c>
      <c r="G866" s="14">
        <f>'№ 4 ведом'!H616</f>
        <v>0</v>
      </c>
    </row>
    <row r="867" spans="1:7" ht="31.5">
      <c r="A867" s="108">
        <v>1103</v>
      </c>
      <c r="B867" s="108">
        <v>3500000000</v>
      </c>
      <c r="C867" s="108"/>
      <c r="D867" s="107" t="s">
        <v>330</v>
      </c>
      <c r="E867" s="14">
        <f>E868</f>
        <v>2956.7</v>
      </c>
      <c r="F867" s="14">
        <f t="shared" ref="F867:G867" si="344">F868</f>
        <v>1972.1</v>
      </c>
      <c r="G867" s="14">
        <f t="shared" si="344"/>
        <v>1972.1</v>
      </c>
    </row>
    <row r="868" spans="1:7" ht="31.5">
      <c r="A868" s="108">
        <v>1103</v>
      </c>
      <c r="B868" s="108">
        <v>3520000000</v>
      </c>
      <c r="C868" s="108"/>
      <c r="D868" s="107" t="s">
        <v>228</v>
      </c>
      <c r="E868" s="14">
        <f>E872+E876+E880+E869</f>
        <v>2956.7</v>
      </c>
      <c r="F868" s="14">
        <f t="shared" ref="F868:G868" si="345">F872+F876+F880+F869</f>
        <v>1972.1</v>
      </c>
      <c r="G868" s="14">
        <f t="shared" si="345"/>
        <v>1972.1</v>
      </c>
    </row>
    <row r="869" spans="1:7" ht="31.5">
      <c r="A869" s="108">
        <v>1103</v>
      </c>
      <c r="B869" s="108">
        <v>3520120180</v>
      </c>
      <c r="C869" s="108"/>
      <c r="D869" s="30" t="s">
        <v>805</v>
      </c>
      <c r="E869" s="14">
        <f>E870</f>
        <v>595.79999999999995</v>
      </c>
      <c r="F869" s="14">
        <f t="shared" ref="F869:G870" si="346">F870</f>
        <v>0</v>
      </c>
      <c r="G869" s="14">
        <f t="shared" si="346"/>
        <v>0</v>
      </c>
    </row>
    <row r="870" spans="1:7" ht="31.5">
      <c r="A870" s="108">
        <v>1103</v>
      </c>
      <c r="B870" s="108">
        <v>3520120180</v>
      </c>
      <c r="C870" s="50" t="s">
        <v>97</v>
      </c>
      <c r="D870" s="107" t="s">
        <v>98</v>
      </c>
      <c r="E870" s="14">
        <f>E871</f>
        <v>595.79999999999995</v>
      </c>
      <c r="F870" s="14">
        <f t="shared" si="346"/>
        <v>0</v>
      </c>
      <c r="G870" s="14">
        <f t="shared" si="346"/>
        <v>0</v>
      </c>
    </row>
    <row r="871" spans="1:7">
      <c r="A871" s="108">
        <v>1103</v>
      </c>
      <c r="B871" s="108">
        <v>3520120180</v>
      </c>
      <c r="C871" s="50">
        <v>610</v>
      </c>
      <c r="D871" s="107" t="s">
        <v>104</v>
      </c>
      <c r="E871" s="14">
        <f>'№ 4 ведом'!F622</f>
        <v>595.79999999999995</v>
      </c>
      <c r="F871" s="14">
        <f>'№ 4 ведом'!G622</f>
        <v>0</v>
      </c>
      <c r="G871" s="14">
        <f>'№ 4 ведом'!H622</f>
        <v>0</v>
      </c>
    </row>
    <row r="872" spans="1:7" ht="31.5">
      <c r="A872" s="108">
        <v>1103</v>
      </c>
      <c r="B872" s="108">
        <v>3520300000</v>
      </c>
      <c r="C872" s="108"/>
      <c r="D872" s="30" t="s">
        <v>264</v>
      </c>
      <c r="E872" s="14">
        <f>E873</f>
        <v>103.8</v>
      </c>
      <c r="F872" s="14">
        <f t="shared" ref="F872:G874" si="347">F873</f>
        <v>78.400000000000006</v>
      </c>
      <c r="G872" s="14">
        <f t="shared" si="347"/>
        <v>78.400000000000006</v>
      </c>
    </row>
    <row r="873" spans="1:7">
      <c r="A873" s="108">
        <v>1103</v>
      </c>
      <c r="B873" s="108">
        <v>3520320300</v>
      </c>
      <c r="C873" s="108"/>
      <c r="D873" s="30" t="s">
        <v>265</v>
      </c>
      <c r="E873" s="14">
        <f>E874</f>
        <v>103.8</v>
      </c>
      <c r="F873" s="14">
        <f t="shared" si="347"/>
        <v>78.400000000000006</v>
      </c>
      <c r="G873" s="14">
        <f t="shared" si="347"/>
        <v>78.400000000000006</v>
      </c>
    </row>
    <row r="874" spans="1:7" ht="31.5">
      <c r="A874" s="108">
        <v>1103</v>
      </c>
      <c r="B874" s="108">
        <v>3520320300</v>
      </c>
      <c r="C874" s="108" t="s">
        <v>97</v>
      </c>
      <c r="D874" s="30" t="s">
        <v>98</v>
      </c>
      <c r="E874" s="14">
        <f>E875</f>
        <v>103.8</v>
      </c>
      <c r="F874" s="14">
        <f t="shared" si="347"/>
        <v>78.400000000000006</v>
      </c>
      <c r="G874" s="14">
        <f t="shared" si="347"/>
        <v>78.400000000000006</v>
      </c>
    </row>
    <row r="875" spans="1:7">
      <c r="A875" s="108">
        <v>1103</v>
      </c>
      <c r="B875" s="108">
        <v>3520320300</v>
      </c>
      <c r="C875" s="108">
        <v>610</v>
      </c>
      <c r="D875" s="30" t="s">
        <v>104</v>
      </c>
      <c r="E875" s="14">
        <f>'№ 4 ведом'!F626</f>
        <v>103.8</v>
      </c>
      <c r="F875" s="14">
        <f>'№ 4 ведом'!G626</f>
        <v>78.400000000000006</v>
      </c>
      <c r="G875" s="14">
        <f>'№ 4 ведом'!H626</f>
        <v>78.400000000000006</v>
      </c>
    </row>
    <row r="876" spans="1:7" ht="31.5">
      <c r="A876" s="108">
        <v>1103</v>
      </c>
      <c r="B876" s="108">
        <v>3520400000</v>
      </c>
      <c r="C876" s="108"/>
      <c r="D876" s="107" t="s">
        <v>270</v>
      </c>
      <c r="E876" s="14">
        <f>E877</f>
        <v>67.900000000000006</v>
      </c>
      <c r="F876" s="14">
        <f t="shared" ref="F876:G878" si="348">F877</f>
        <v>57.4</v>
      </c>
      <c r="G876" s="14">
        <f t="shared" si="348"/>
        <v>57.4</v>
      </c>
    </row>
    <row r="877" spans="1:7">
      <c r="A877" s="108">
        <v>1103</v>
      </c>
      <c r="B877" s="108">
        <v>3520420300</v>
      </c>
      <c r="C877" s="108"/>
      <c r="D877" s="107" t="s">
        <v>271</v>
      </c>
      <c r="E877" s="14">
        <f>E878</f>
        <v>67.900000000000006</v>
      </c>
      <c r="F877" s="14">
        <f t="shared" si="348"/>
        <v>57.4</v>
      </c>
      <c r="G877" s="14">
        <f t="shared" si="348"/>
        <v>57.4</v>
      </c>
    </row>
    <row r="878" spans="1:7" ht="31.5">
      <c r="A878" s="108">
        <v>1103</v>
      </c>
      <c r="B878" s="108">
        <v>3520420300</v>
      </c>
      <c r="C878" s="108" t="s">
        <v>97</v>
      </c>
      <c r="D878" s="30" t="s">
        <v>98</v>
      </c>
      <c r="E878" s="14">
        <f>E879</f>
        <v>67.900000000000006</v>
      </c>
      <c r="F878" s="14">
        <f t="shared" si="348"/>
        <v>57.4</v>
      </c>
      <c r="G878" s="14">
        <f t="shared" si="348"/>
        <v>57.4</v>
      </c>
    </row>
    <row r="879" spans="1:7">
      <c r="A879" s="108">
        <v>1103</v>
      </c>
      <c r="B879" s="108">
        <v>3520420300</v>
      </c>
      <c r="C879" s="108">
        <v>610</v>
      </c>
      <c r="D879" s="30" t="s">
        <v>104</v>
      </c>
      <c r="E879" s="14">
        <f>'№ 4 ведом'!F630</f>
        <v>67.900000000000006</v>
      </c>
      <c r="F879" s="14">
        <f>'№ 4 ведом'!G630</f>
        <v>57.4</v>
      </c>
      <c r="G879" s="14">
        <f>'№ 4 ведом'!H630</f>
        <v>57.4</v>
      </c>
    </row>
    <row r="880" spans="1:7" ht="31.5">
      <c r="A880" s="108">
        <v>1103</v>
      </c>
      <c r="B880" s="108">
        <v>3520500000</v>
      </c>
      <c r="C880" s="108"/>
      <c r="D880" s="107" t="s">
        <v>269</v>
      </c>
      <c r="E880" s="14">
        <f>E881</f>
        <v>2189.1999999999998</v>
      </c>
      <c r="F880" s="14">
        <f t="shared" ref="F880:G882" si="349">F881</f>
        <v>1836.3</v>
      </c>
      <c r="G880" s="14">
        <f t="shared" si="349"/>
        <v>1836.3</v>
      </c>
    </row>
    <row r="881" spans="1:7">
      <c r="A881" s="108">
        <v>1103</v>
      </c>
      <c r="B881" s="108">
        <v>3520520200</v>
      </c>
      <c r="C881" s="108"/>
      <c r="D881" s="107" t="s">
        <v>252</v>
      </c>
      <c r="E881" s="14">
        <f>E882</f>
        <v>2189.1999999999998</v>
      </c>
      <c r="F881" s="14">
        <f t="shared" si="349"/>
        <v>1836.3</v>
      </c>
      <c r="G881" s="14">
        <f t="shared" si="349"/>
        <v>1836.3</v>
      </c>
    </row>
    <row r="882" spans="1:7" ht="31.5">
      <c r="A882" s="108">
        <v>1103</v>
      </c>
      <c r="B882" s="108">
        <v>3520520200</v>
      </c>
      <c r="C882" s="108" t="s">
        <v>97</v>
      </c>
      <c r="D882" s="30" t="s">
        <v>98</v>
      </c>
      <c r="E882" s="14">
        <f>E883</f>
        <v>2189.1999999999998</v>
      </c>
      <c r="F882" s="14">
        <f t="shared" si="349"/>
        <v>1836.3</v>
      </c>
      <c r="G882" s="14">
        <f t="shared" si="349"/>
        <v>1836.3</v>
      </c>
    </row>
    <row r="883" spans="1:7">
      <c r="A883" s="108">
        <v>1103</v>
      </c>
      <c r="B883" s="108">
        <v>3520520200</v>
      </c>
      <c r="C883" s="108">
        <v>610</v>
      </c>
      <c r="D883" s="30" t="s">
        <v>104</v>
      </c>
      <c r="E883" s="14">
        <f>'№ 4 ведом'!F634</f>
        <v>2189.1999999999998</v>
      </c>
      <c r="F883" s="14">
        <f>'№ 4 ведом'!G634</f>
        <v>1836.3</v>
      </c>
      <c r="G883" s="14">
        <f>'№ 4 ведом'!H634</f>
        <v>1836.3</v>
      </c>
    </row>
    <row r="884" spans="1:7">
      <c r="A884" s="116" t="s">
        <v>92</v>
      </c>
      <c r="B884" s="116" t="s">
        <v>66</v>
      </c>
      <c r="C884" s="116" t="s">
        <v>66</v>
      </c>
      <c r="D884" s="13" t="s">
        <v>63</v>
      </c>
      <c r="E884" s="117">
        <f>E885</f>
        <v>3524.9</v>
      </c>
      <c r="F884" s="117">
        <f t="shared" ref="F884:G887" si="350">F885</f>
        <v>1569.6</v>
      </c>
      <c r="G884" s="117">
        <f t="shared" si="350"/>
        <v>1569.6</v>
      </c>
    </row>
    <row r="885" spans="1:7">
      <c r="A885" s="108" t="s">
        <v>64</v>
      </c>
      <c r="B885" s="108" t="s">
        <v>66</v>
      </c>
      <c r="C885" s="108" t="s">
        <v>66</v>
      </c>
      <c r="D885" s="107" t="s">
        <v>65</v>
      </c>
      <c r="E885" s="14">
        <f>E886</f>
        <v>3524.9</v>
      </c>
      <c r="F885" s="14">
        <f t="shared" si="350"/>
        <v>1569.6</v>
      </c>
      <c r="G885" s="14">
        <f t="shared" si="350"/>
        <v>1569.6</v>
      </c>
    </row>
    <row r="886" spans="1:7" ht="47.25">
      <c r="A886" s="108" t="s">
        <v>64</v>
      </c>
      <c r="B886" s="108">
        <v>3200000000</v>
      </c>
      <c r="C886" s="108"/>
      <c r="D886" s="107" t="s">
        <v>329</v>
      </c>
      <c r="E886" s="14">
        <f>E887</f>
        <v>3524.9</v>
      </c>
      <c r="F886" s="14">
        <f t="shared" si="350"/>
        <v>1569.6</v>
      </c>
      <c r="G886" s="14">
        <f t="shared" si="350"/>
        <v>1569.6</v>
      </c>
    </row>
    <row r="887" spans="1:7" ht="31.5">
      <c r="A887" s="108" t="s">
        <v>64</v>
      </c>
      <c r="B887" s="108">
        <v>3250000000</v>
      </c>
      <c r="C887" s="108"/>
      <c r="D887" s="107" t="s">
        <v>132</v>
      </c>
      <c r="E887" s="14">
        <f>E888</f>
        <v>3524.9</v>
      </c>
      <c r="F887" s="14">
        <f t="shared" si="350"/>
        <v>1569.6</v>
      </c>
      <c r="G887" s="14">
        <f t="shared" si="350"/>
        <v>1569.6</v>
      </c>
    </row>
    <row r="888" spans="1:7">
      <c r="A888" s="108" t="s">
        <v>64</v>
      </c>
      <c r="B888" s="108">
        <v>3250300000</v>
      </c>
      <c r="C888" s="108"/>
      <c r="D888" s="107" t="s">
        <v>185</v>
      </c>
      <c r="E888" s="14">
        <f>E889+E892</f>
        <v>3524.9</v>
      </c>
      <c r="F888" s="14">
        <f t="shared" ref="F888:G888" si="351">F889+F892</f>
        <v>1569.6</v>
      </c>
      <c r="G888" s="14">
        <f t="shared" si="351"/>
        <v>1569.6</v>
      </c>
    </row>
    <row r="889" spans="1:7" ht="47.25">
      <c r="A889" s="108" t="s">
        <v>64</v>
      </c>
      <c r="B889" s="108">
        <v>3250320400</v>
      </c>
      <c r="C889" s="108"/>
      <c r="D889" s="107" t="s">
        <v>227</v>
      </c>
      <c r="E889" s="14">
        <f>E890</f>
        <v>506</v>
      </c>
      <c r="F889" s="14">
        <f t="shared" ref="F889:G890" si="352">F890</f>
        <v>0</v>
      </c>
      <c r="G889" s="14">
        <f t="shared" si="352"/>
        <v>0</v>
      </c>
    </row>
    <row r="890" spans="1:7" ht="31.5">
      <c r="A890" s="108" t="s">
        <v>64</v>
      </c>
      <c r="B890" s="108">
        <v>3250320400</v>
      </c>
      <c r="C890" s="108" t="s">
        <v>69</v>
      </c>
      <c r="D890" s="107" t="s">
        <v>95</v>
      </c>
      <c r="E890" s="14">
        <f>E891</f>
        <v>506</v>
      </c>
      <c r="F890" s="14">
        <f t="shared" si="352"/>
        <v>0</v>
      </c>
      <c r="G890" s="14">
        <f t="shared" si="352"/>
        <v>0</v>
      </c>
    </row>
    <row r="891" spans="1:7" ht="31.5">
      <c r="A891" s="108" t="s">
        <v>64</v>
      </c>
      <c r="B891" s="108">
        <v>3250320400</v>
      </c>
      <c r="C891" s="108">
        <v>240</v>
      </c>
      <c r="D891" s="107" t="s">
        <v>216</v>
      </c>
      <c r="E891" s="14">
        <f>'№ 4 ведом'!F642</f>
        <v>506</v>
      </c>
      <c r="F891" s="14">
        <f>'№ 4 ведом'!G642</f>
        <v>0</v>
      </c>
      <c r="G891" s="14">
        <f>'№ 4 ведом'!H642</f>
        <v>0</v>
      </c>
    </row>
    <row r="892" spans="1:7" ht="31.5">
      <c r="A892" s="108" t="s">
        <v>64</v>
      </c>
      <c r="B892" s="108" t="s">
        <v>355</v>
      </c>
      <c r="C892" s="108"/>
      <c r="D892" s="107" t="s">
        <v>376</v>
      </c>
      <c r="E892" s="126">
        <f>E893</f>
        <v>3018.9</v>
      </c>
      <c r="F892" s="126">
        <f t="shared" ref="F892:G893" si="353">F893</f>
        <v>1569.6</v>
      </c>
      <c r="G892" s="126">
        <f t="shared" si="353"/>
        <v>1569.6</v>
      </c>
    </row>
    <row r="893" spans="1:7" ht="31.5">
      <c r="A893" s="108" t="s">
        <v>64</v>
      </c>
      <c r="B893" s="108" t="s">
        <v>355</v>
      </c>
      <c r="C893" s="108" t="s">
        <v>97</v>
      </c>
      <c r="D893" s="107" t="s">
        <v>98</v>
      </c>
      <c r="E893" s="14">
        <f>E894</f>
        <v>3018.9</v>
      </c>
      <c r="F893" s="14">
        <f t="shared" si="353"/>
        <v>1569.6</v>
      </c>
      <c r="G893" s="14">
        <f t="shared" si="353"/>
        <v>1569.6</v>
      </c>
    </row>
    <row r="894" spans="1:7" ht="31.5">
      <c r="A894" s="108" t="s">
        <v>64</v>
      </c>
      <c r="B894" s="108" t="s">
        <v>355</v>
      </c>
      <c r="C894" s="108">
        <v>630</v>
      </c>
      <c r="D894" s="107" t="s">
        <v>143</v>
      </c>
      <c r="E894" s="14">
        <f>'№ 4 ведом'!F645</f>
        <v>3018.9</v>
      </c>
      <c r="F894" s="14">
        <f>'№ 4 ведом'!G645</f>
        <v>1569.6</v>
      </c>
      <c r="G894" s="14">
        <f>'№ 4 ведом'!H645</f>
        <v>1569.6</v>
      </c>
    </row>
  </sheetData>
  <autoFilter ref="A8:G894"/>
  <mergeCells count="10">
    <mergeCell ref="A1:G1"/>
    <mergeCell ref="A4:G4"/>
    <mergeCell ref="A5:A7"/>
    <mergeCell ref="B5:B7"/>
    <mergeCell ref="C5:C7"/>
    <mergeCell ref="D5:D7"/>
    <mergeCell ref="E5:G5"/>
    <mergeCell ref="E6:E7"/>
    <mergeCell ref="F6:G6"/>
    <mergeCell ref="D2:G2"/>
  </mergeCells>
  <pageMargins left="0.78740157480314965" right="0.19685039370078741" top="0.19685039370078741" bottom="0.19685039370078741" header="0.31496062992125984" footer="0.31496062992125984"/>
  <pageSetup paperSize="9" scale="70" fitToHeight="0" orientation="portrait" r:id="rId1"/>
  <headerFooter>
    <oddFooter>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4"/>
  <dimension ref="A1:G1209"/>
  <sheetViews>
    <sheetView view="pageBreakPreview" zoomScaleSheetLayoutView="100" workbookViewId="0">
      <selection activeCell="C2" sqref="C2:F2"/>
    </sheetView>
  </sheetViews>
  <sheetFormatPr defaultColWidth="8.85546875" defaultRowHeight="15.75"/>
  <cols>
    <col min="1" max="1" width="15" style="94" customWidth="1"/>
    <col min="2" max="2" width="8.7109375" style="94" customWidth="1"/>
    <col min="3" max="3" width="73.28515625" style="105" customWidth="1"/>
    <col min="4" max="4" width="12.28515625" style="106" customWidth="1"/>
    <col min="5" max="5" width="13.140625" style="106" customWidth="1"/>
    <col min="6" max="6" width="12.7109375" style="106" customWidth="1"/>
    <col min="7" max="7" width="9.85546875" style="93" bestFit="1" customWidth="1"/>
    <col min="8" max="9" width="8.85546875" style="94"/>
    <col min="10" max="10" width="16" style="94" bestFit="1" customWidth="1"/>
    <col min="11" max="16384" width="8.85546875" style="94"/>
  </cols>
  <sheetData>
    <row r="1" spans="1:6" ht="60" customHeight="1">
      <c r="A1" s="295" t="s">
        <v>411</v>
      </c>
      <c r="B1" s="295"/>
      <c r="C1" s="295"/>
      <c r="D1" s="295"/>
      <c r="E1" s="295"/>
      <c r="F1" s="295"/>
    </row>
    <row r="2" spans="1:6" ht="33.75" customHeight="1">
      <c r="A2" s="109"/>
      <c r="B2" s="109"/>
      <c r="C2" s="288" t="s">
        <v>832</v>
      </c>
      <c r="D2" s="288"/>
      <c r="E2" s="288"/>
      <c r="F2" s="288"/>
    </row>
    <row r="3" spans="1:6" ht="17.25" customHeight="1">
      <c r="A3" s="109"/>
      <c r="B3" s="109"/>
      <c r="C3" s="113"/>
      <c r="D3" s="113"/>
      <c r="E3" s="113"/>
      <c r="F3" s="113"/>
    </row>
    <row r="4" spans="1:6" ht="56.25" customHeight="1">
      <c r="A4" s="296" t="s">
        <v>810</v>
      </c>
      <c r="B4" s="296"/>
      <c r="C4" s="296"/>
      <c r="D4" s="296"/>
      <c r="E4" s="296"/>
      <c r="F4" s="296"/>
    </row>
    <row r="5" spans="1:6">
      <c r="A5" s="293" t="s">
        <v>16</v>
      </c>
      <c r="B5" s="297" t="s">
        <v>17</v>
      </c>
      <c r="C5" s="297" t="s">
        <v>18</v>
      </c>
      <c r="D5" s="298" t="s">
        <v>87</v>
      </c>
      <c r="E5" s="298"/>
      <c r="F5" s="298"/>
    </row>
    <row r="6" spans="1:6">
      <c r="A6" s="293" t="s">
        <v>66</v>
      </c>
      <c r="B6" s="297" t="s">
        <v>66</v>
      </c>
      <c r="C6" s="297" t="s">
        <v>66</v>
      </c>
      <c r="D6" s="290" t="s">
        <v>278</v>
      </c>
      <c r="E6" s="290" t="s">
        <v>88</v>
      </c>
      <c r="F6" s="290"/>
    </row>
    <row r="7" spans="1:6">
      <c r="A7" s="293" t="s">
        <v>66</v>
      </c>
      <c r="B7" s="297" t="s">
        <v>66</v>
      </c>
      <c r="C7" s="297" t="s">
        <v>66</v>
      </c>
      <c r="D7" s="290" t="s">
        <v>66</v>
      </c>
      <c r="E7" s="108" t="s">
        <v>291</v>
      </c>
      <c r="F7" s="108" t="s">
        <v>324</v>
      </c>
    </row>
    <row r="8" spans="1:6">
      <c r="A8" s="111" t="s">
        <v>3</v>
      </c>
      <c r="B8" s="111" t="s">
        <v>77</v>
      </c>
      <c r="C8" s="111" t="s">
        <v>78</v>
      </c>
      <c r="D8" s="112" t="s">
        <v>79</v>
      </c>
      <c r="E8" s="112" t="s">
        <v>80</v>
      </c>
      <c r="F8" s="112" t="s">
        <v>81</v>
      </c>
    </row>
    <row r="9" spans="1:6">
      <c r="A9" s="95" t="s">
        <v>66</v>
      </c>
      <c r="B9" s="95" t="s">
        <v>66</v>
      </c>
      <c r="C9" s="96" t="s">
        <v>0</v>
      </c>
      <c r="D9" s="97">
        <f>D10+D155+D281+D374+D426+D475+D526</f>
        <v>1837783.5999999996</v>
      </c>
      <c r="E9" s="97">
        <f>E10+E155+E281+E374+E426+E475+E526</f>
        <v>1538973.9000000001</v>
      </c>
      <c r="F9" s="97">
        <f>F10+F155+F281+F374+F426+F475+F526</f>
        <v>1389112.9000000004</v>
      </c>
    </row>
    <row r="10" spans="1:6" ht="41.25" customHeight="1">
      <c r="A10" s="19">
        <v>3100000000</v>
      </c>
      <c r="B10" s="20"/>
      <c r="C10" s="24" t="s">
        <v>328</v>
      </c>
      <c r="D10" s="98">
        <f>D11+D106+D130</f>
        <v>1146733.7999999998</v>
      </c>
      <c r="E10" s="98">
        <f>E11+E106+E130</f>
        <v>1014318.4999999999</v>
      </c>
      <c r="F10" s="98">
        <f>F11+F106+F130</f>
        <v>936973.3</v>
      </c>
    </row>
    <row r="11" spans="1:6">
      <c r="A11" s="108">
        <v>3110000000</v>
      </c>
      <c r="B11" s="108"/>
      <c r="C11" s="107" t="s">
        <v>163</v>
      </c>
      <c r="D11" s="99">
        <f>D12+D25+D31+D41+D62+D68+D89+D96+D75+D82</f>
        <v>1081269.0999999999</v>
      </c>
      <c r="E11" s="99">
        <f>E12+E25+E31+E41+E62+E68+E89+E96+E75+E82</f>
        <v>952032.29999999993</v>
      </c>
      <c r="F11" s="99">
        <f>F12+F25+F31+F41+F62+F68+F89+F96+F75+F82</f>
        <v>874318.70000000007</v>
      </c>
    </row>
    <row r="12" spans="1:6" ht="47.25">
      <c r="A12" s="108">
        <v>3110100000</v>
      </c>
      <c r="B12" s="30"/>
      <c r="C12" s="107" t="s">
        <v>164</v>
      </c>
      <c r="D12" s="99">
        <f>D13+D16+D19+D22</f>
        <v>789679.29999999993</v>
      </c>
      <c r="E12" s="99">
        <f t="shared" ref="E12:F12" si="0">E13+E16+E19+E22</f>
        <v>790250.3</v>
      </c>
      <c r="F12" s="99">
        <f t="shared" si="0"/>
        <v>795831.00000000012</v>
      </c>
    </row>
    <row r="13" spans="1:6" ht="47.25">
      <c r="A13" s="7" t="s">
        <v>356</v>
      </c>
      <c r="B13" s="8"/>
      <c r="C13" s="22" t="s">
        <v>103</v>
      </c>
      <c r="D13" s="99">
        <f>D14</f>
        <v>213384.5</v>
      </c>
      <c r="E13" s="99">
        <f t="shared" ref="E13:F14" si="1">E14</f>
        <v>213751.4</v>
      </c>
      <c r="F13" s="99">
        <f t="shared" si="1"/>
        <v>214533.7</v>
      </c>
    </row>
    <row r="14" spans="1:6" ht="31.5">
      <c r="A14" s="7" t="s">
        <v>356</v>
      </c>
      <c r="B14" s="108" t="s">
        <v>97</v>
      </c>
      <c r="C14" s="107" t="s">
        <v>98</v>
      </c>
      <c r="D14" s="99">
        <f>D15</f>
        <v>213384.5</v>
      </c>
      <c r="E14" s="99">
        <f t="shared" si="1"/>
        <v>213751.4</v>
      </c>
      <c r="F14" s="99">
        <f t="shared" si="1"/>
        <v>214533.7</v>
      </c>
    </row>
    <row r="15" spans="1:6">
      <c r="A15" s="7" t="s">
        <v>356</v>
      </c>
      <c r="B15" s="108">
        <v>610</v>
      </c>
      <c r="C15" s="107" t="s">
        <v>104</v>
      </c>
      <c r="D15" s="99">
        <f>' № 5  рп, кцср, квр'!E434</f>
        <v>213384.5</v>
      </c>
      <c r="E15" s="99">
        <f>' № 5  рп, кцср, квр'!F434</f>
        <v>213751.4</v>
      </c>
      <c r="F15" s="99">
        <f>' № 5  рп, кцср, квр'!G434</f>
        <v>214533.7</v>
      </c>
    </row>
    <row r="16" spans="1:6" ht="94.5">
      <c r="A16" s="108">
        <v>3110110750</v>
      </c>
      <c r="B16" s="108"/>
      <c r="C16" s="107" t="s">
        <v>165</v>
      </c>
      <c r="D16" s="99">
        <f>D17</f>
        <v>368045.89999999997</v>
      </c>
      <c r="E16" s="99">
        <f t="shared" ref="E16:F17" si="2">E17</f>
        <v>368661.1</v>
      </c>
      <c r="F16" s="99">
        <f t="shared" si="2"/>
        <v>371025.9</v>
      </c>
    </row>
    <row r="17" spans="1:6" ht="31.5">
      <c r="A17" s="108">
        <v>3110110750</v>
      </c>
      <c r="B17" s="108" t="s">
        <v>97</v>
      </c>
      <c r="C17" s="107" t="s">
        <v>98</v>
      </c>
      <c r="D17" s="99">
        <f>D18</f>
        <v>368045.89999999997</v>
      </c>
      <c r="E17" s="99">
        <f t="shared" si="2"/>
        <v>368661.1</v>
      </c>
      <c r="F17" s="99">
        <f t="shared" si="2"/>
        <v>371025.9</v>
      </c>
    </row>
    <row r="18" spans="1:6">
      <c r="A18" s="108">
        <v>3110110750</v>
      </c>
      <c r="B18" s="108">
        <v>610</v>
      </c>
      <c r="C18" s="107" t="s">
        <v>104</v>
      </c>
      <c r="D18" s="99">
        <f>' № 5  рп, кцср, квр'!E501</f>
        <v>368045.89999999997</v>
      </c>
      <c r="E18" s="99">
        <f>' № 5  рп, кцср, квр'!F501</f>
        <v>368661.1</v>
      </c>
      <c r="F18" s="99">
        <f>' № 5  рп, кцср, квр'!G501</f>
        <v>371025.9</v>
      </c>
    </row>
    <row r="19" spans="1:6" ht="31.5">
      <c r="A19" s="7" t="s">
        <v>357</v>
      </c>
      <c r="B19" s="7"/>
      <c r="C19" s="22" t="s">
        <v>123</v>
      </c>
      <c r="D19" s="99">
        <f>D20</f>
        <v>206008.90000000002</v>
      </c>
      <c r="E19" s="99">
        <f t="shared" ref="E19:F20" si="3">E20</f>
        <v>207837.8</v>
      </c>
      <c r="F19" s="99">
        <f t="shared" si="3"/>
        <v>210271.40000000002</v>
      </c>
    </row>
    <row r="20" spans="1:6" ht="31.5">
      <c r="A20" s="7" t="s">
        <v>357</v>
      </c>
      <c r="B20" s="108" t="s">
        <v>97</v>
      </c>
      <c r="C20" s="107" t="s">
        <v>98</v>
      </c>
      <c r="D20" s="99">
        <f>D21</f>
        <v>206008.90000000002</v>
      </c>
      <c r="E20" s="99">
        <f t="shared" si="3"/>
        <v>207837.8</v>
      </c>
      <c r="F20" s="99">
        <f t="shared" si="3"/>
        <v>210271.40000000002</v>
      </c>
    </row>
    <row r="21" spans="1:6">
      <c r="A21" s="7" t="s">
        <v>357</v>
      </c>
      <c r="B21" s="108">
        <v>610</v>
      </c>
      <c r="C21" s="107" t="s">
        <v>104</v>
      </c>
      <c r="D21" s="99">
        <f>' № 5  рп, кцср, квр'!E437+' № 5  рп, кцср, квр'!E504</f>
        <v>206008.90000000002</v>
      </c>
      <c r="E21" s="99">
        <f>' № 5  рп, кцср, квр'!F437+' № 5  рп, кцср, квр'!F504</f>
        <v>207837.8</v>
      </c>
      <c r="F21" s="99">
        <f>' № 5  рп, кцср, квр'!G437+' № 5  рп, кцср, квр'!G504</f>
        <v>210271.40000000002</v>
      </c>
    </row>
    <row r="22" spans="1:6" ht="31.5">
      <c r="A22" s="7" t="s">
        <v>803</v>
      </c>
      <c r="B22" s="108"/>
      <c r="C22" s="33" t="s">
        <v>801</v>
      </c>
      <c r="D22" s="99">
        <f>D23</f>
        <v>2240</v>
      </c>
      <c r="E22" s="99">
        <f t="shared" ref="E22:F23" si="4">E23</f>
        <v>0</v>
      </c>
      <c r="F22" s="99">
        <f t="shared" si="4"/>
        <v>0</v>
      </c>
    </row>
    <row r="23" spans="1:6" ht="31.5">
      <c r="A23" s="7" t="s">
        <v>803</v>
      </c>
      <c r="B23" s="108" t="s">
        <v>97</v>
      </c>
      <c r="C23" s="107" t="s">
        <v>98</v>
      </c>
      <c r="D23" s="99">
        <f>D24</f>
        <v>2240</v>
      </c>
      <c r="E23" s="99">
        <f t="shared" si="4"/>
        <v>0</v>
      </c>
      <c r="F23" s="99">
        <f t="shared" si="4"/>
        <v>0</v>
      </c>
    </row>
    <row r="24" spans="1:6">
      <c r="A24" s="7" t="s">
        <v>803</v>
      </c>
      <c r="B24" s="108">
        <v>610</v>
      </c>
      <c r="C24" s="107" t="s">
        <v>104</v>
      </c>
      <c r="D24" s="99">
        <f>' № 5  рп, кцср, квр'!E440+' № 5  рп, кцср, квр'!E507</f>
        <v>2240</v>
      </c>
      <c r="E24" s="99">
        <f>' № 5  рп, кцср, квр'!F440+' № 5  рп, кцср, квр'!F507</f>
        <v>0</v>
      </c>
      <c r="F24" s="99">
        <f>' № 5  рп, кцср, квр'!G440+' № 5  рп, кцср, квр'!G507</f>
        <v>0</v>
      </c>
    </row>
    <row r="25" spans="1:6" ht="47.25">
      <c r="A25" s="108">
        <v>3110200000</v>
      </c>
      <c r="B25" s="108"/>
      <c r="C25" s="107" t="s">
        <v>169</v>
      </c>
      <c r="D25" s="99">
        <f>D26</f>
        <v>13605.199999999999</v>
      </c>
      <c r="E25" s="99">
        <f t="shared" ref="E25:F25" si="5">E26</f>
        <v>13605.199999999999</v>
      </c>
      <c r="F25" s="99">
        <f t="shared" si="5"/>
        <v>13605.199999999999</v>
      </c>
    </row>
    <row r="26" spans="1:6" ht="78.75">
      <c r="A26" s="108">
        <v>3110210500</v>
      </c>
      <c r="B26" s="108"/>
      <c r="C26" s="107" t="s">
        <v>213</v>
      </c>
      <c r="D26" s="99">
        <f>D27+D29</f>
        <v>13605.199999999999</v>
      </c>
      <c r="E26" s="99">
        <f t="shared" ref="E26:F26" si="6">E27+E29</f>
        <v>13605.199999999999</v>
      </c>
      <c r="F26" s="99">
        <f t="shared" si="6"/>
        <v>13605.199999999999</v>
      </c>
    </row>
    <row r="27" spans="1:6" ht="31.5">
      <c r="A27" s="108">
        <v>3110210500</v>
      </c>
      <c r="B27" s="108" t="s">
        <v>69</v>
      </c>
      <c r="C27" s="107" t="s">
        <v>95</v>
      </c>
      <c r="D27" s="99">
        <f>D28</f>
        <v>331.8</v>
      </c>
      <c r="E27" s="99">
        <f t="shared" ref="E27:F27" si="7">E28</f>
        <v>331.8</v>
      </c>
      <c r="F27" s="99">
        <f t="shared" si="7"/>
        <v>331.8</v>
      </c>
    </row>
    <row r="28" spans="1:6" ht="31.5">
      <c r="A28" s="108">
        <v>3110210500</v>
      </c>
      <c r="B28" s="108">
        <v>240</v>
      </c>
      <c r="C28" s="107" t="s">
        <v>216</v>
      </c>
      <c r="D28" s="99">
        <f>' № 5  рп, кцср, квр'!E779</f>
        <v>331.8</v>
      </c>
      <c r="E28" s="99">
        <f>' № 5  рп, кцср, квр'!F779</f>
        <v>331.8</v>
      </c>
      <c r="F28" s="99">
        <f>' № 5  рп, кцср, квр'!G779</f>
        <v>331.8</v>
      </c>
    </row>
    <row r="29" spans="1:6">
      <c r="A29" s="108">
        <v>3110210500</v>
      </c>
      <c r="B29" s="108" t="s">
        <v>73</v>
      </c>
      <c r="C29" s="107" t="s">
        <v>74</v>
      </c>
      <c r="D29" s="99">
        <f>D30</f>
        <v>13273.4</v>
      </c>
      <c r="E29" s="99">
        <f t="shared" ref="E29:F29" si="8">E30</f>
        <v>13273.4</v>
      </c>
      <c r="F29" s="99">
        <f t="shared" si="8"/>
        <v>13273.4</v>
      </c>
    </row>
    <row r="30" spans="1:6" ht="31.5">
      <c r="A30" s="108">
        <v>3110210500</v>
      </c>
      <c r="B30" s="1" t="s">
        <v>101</v>
      </c>
      <c r="C30" s="26" t="s">
        <v>102</v>
      </c>
      <c r="D30" s="99">
        <f>' № 5  рп, кцср, квр'!E781</f>
        <v>13273.4</v>
      </c>
      <c r="E30" s="99">
        <f>' № 5  рп, кцср, квр'!F781</f>
        <v>13273.4</v>
      </c>
      <c r="F30" s="99">
        <f>' № 5  рп, кцср, квр'!G781</f>
        <v>13273.4</v>
      </c>
    </row>
    <row r="31" spans="1:6" ht="31.5">
      <c r="A31" s="108">
        <v>3110300000</v>
      </c>
      <c r="B31" s="108"/>
      <c r="C31" s="107" t="s">
        <v>374</v>
      </c>
      <c r="D31" s="99">
        <f>D32+D35+D38</f>
        <v>32431.7</v>
      </c>
      <c r="E31" s="99">
        <f t="shared" ref="E31:F31" si="9">E32+E35+E38</f>
        <v>30322.1</v>
      </c>
      <c r="F31" s="99">
        <f t="shared" si="9"/>
        <v>29186.5</v>
      </c>
    </row>
    <row r="32" spans="1:6" ht="47.25">
      <c r="A32" s="108" t="s">
        <v>358</v>
      </c>
      <c r="B32" s="108"/>
      <c r="C32" s="107" t="s">
        <v>246</v>
      </c>
      <c r="D32" s="99">
        <f>D33</f>
        <v>25463</v>
      </c>
      <c r="E32" s="99">
        <f t="shared" ref="E32:F33" si="10">E33</f>
        <v>24840.699999999997</v>
      </c>
      <c r="F32" s="99">
        <f t="shared" si="10"/>
        <v>23705</v>
      </c>
    </row>
    <row r="33" spans="1:6" ht="31.5">
      <c r="A33" s="108" t="s">
        <v>358</v>
      </c>
      <c r="B33" s="108" t="s">
        <v>97</v>
      </c>
      <c r="C33" s="107" t="s">
        <v>98</v>
      </c>
      <c r="D33" s="99">
        <f>D34</f>
        <v>25463</v>
      </c>
      <c r="E33" s="99">
        <f t="shared" si="10"/>
        <v>24840.699999999997</v>
      </c>
      <c r="F33" s="99">
        <f t="shared" si="10"/>
        <v>23705</v>
      </c>
    </row>
    <row r="34" spans="1:6">
      <c r="A34" s="108" t="s">
        <v>358</v>
      </c>
      <c r="B34" s="108">
        <v>610</v>
      </c>
      <c r="C34" s="107" t="s">
        <v>104</v>
      </c>
      <c r="D34" s="99">
        <f>' № 5  рп, кцср, квр'!E511</f>
        <v>25463</v>
      </c>
      <c r="E34" s="99">
        <f>' № 5  рп, кцср, квр'!F511</f>
        <v>24840.699999999997</v>
      </c>
      <c r="F34" s="99">
        <f>' № 5  рп, кцср, квр'!G511</f>
        <v>23705</v>
      </c>
    </row>
    <row r="35" spans="1:6" ht="47.25">
      <c r="A35" s="108">
        <v>3110320010</v>
      </c>
      <c r="B35" s="108"/>
      <c r="C35" s="107" t="s">
        <v>258</v>
      </c>
      <c r="D35" s="99">
        <f>D36</f>
        <v>5053</v>
      </c>
      <c r="E35" s="99">
        <f t="shared" ref="E35:F36" si="11">E36</f>
        <v>4500</v>
      </c>
      <c r="F35" s="99">
        <f t="shared" si="11"/>
        <v>4500</v>
      </c>
    </row>
    <row r="36" spans="1:6" ht="31.5">
      <c r="A36" s="108">
        <v>3110320010</v>
      </c>
      <c r="B36" s="108" t="s">
        <v>97</v>
      </c>
      <c r="C36" s="107" t="s">
        <v>98</v>
      </c>
      <c r="D36" s="99">
        <f>D37</f>
        <v>5053</v>
      </c>
      <c r="E36" s="99">
        <f t="shared" si="11"/>
        <v>4500</v>
      </c>
      <c r="F36" s="99">
        <f t="shared" si="11"/>
        <v>4500</v>
      </c>
    </row>
    <row r="37" spans="1:6">
      <c r="A37" s="108">
        <v>3110320010</v>
      </c>
      <c r="B37" s="108">
        <v>610</v>
      </c>
      <c r="C37" s="107" t="s">
        <v>104</v>
      </c>
      <c r="D37" s="99">
        <f>' № 5  рп, кцср, квр'!E514</f>
        <v>5053</v>
      </c>
      <c r="E37" s="99">
        <f>' № 5  рп, кцср, квр'!F514</f>
        <v>4500</v>
      </c>
      <c r="F37" s="99">
        <f>' № 5  рп, кцср, квр'!G514</f>
        <v>4500</v>
      </c>
    </row>
    <row r="38" spans="1:6" ht="47.25">
      <c r="A38" s="108">
        <v>3110320020</v>
      </c>
      <c r="B38" s="108"/>
      <c r="C38" s="107" t="s">
        <v>290</v>
      </c>
      <c r="D38" s="99">
        <f>D39</f>
        <v>1915.7</v>
      </c>
      <c r="E38" s="99">
        <f t="shared" ref="E38:F39" si="12">E39</f>
        <v>981.4</v>
      </c>
      <c r="F38" s="99">
        <f t="shared" si="12"/>
        <v>981.5</v>
      </c>
    </row>
    <row r="39" spans="1:6" ht="31.5">
      <c r="A39" s="108">
        <v>3110320020</v>
      </c>
      <c r="B39" s="108" t="s">
        <v>97</v>
      </c>
      <c r="C39" s="107" t="s">
        <v>98</v>
      </c>
      <c r="D39" s="99">
        <f>D40</f>
        <v>1915.7</v>
      </c>
      <c r="E39" s="99">
        <f t="shared" si="12"/>
        <v>981.4</v>
      </c>
      <c r="F39" s="99">
        <f t="shared" si="12"/>
        <v>981.5</v>
      </c>
    </row>
    <row r="40" spans="1:6">
      <c r="A40" s="108">
        <v>3110320020</v>
      </c>
      <c r="B40" s="108">
        <v>610</v>
      </c>
      <c r="C40" s="107" t="s">
        <v>104</v>
      </c>
      <c r="D40" s="99">
        <f>' № 5  рп, кцср, квр'!E517</f>
        <v>1915.7</v>
      </c>
      <c r="E40" s="99">
        <f>' № 5  рп, кцср, квр'!F517</f>
        <v>981.4</v>
      </c>
      <c r="F40" s="99">
        <f>' № 5  рп, кцср, квр'!G517</f>
        <v>981.5</v>
      </c>
    </row>
    <row r="41" spans="1:6" ht="63">
      <c r="A41" s="108">
        <v>3110500000</v>
      </c>
      <c r="B41" s="108"/>
      <c r="C41" s="107" t="s">
        <v>229</v>
      </c>
      <c r="D41" s="99">
        <f>D42+D47+D50+D53+D56+D59</f>
        <v>184105.80000000002</v>
      </c>
      <c r="E41" s="99">
        <f t="shared" ref="E41:F41" si="13">E42+E47+E50+E53+E56+E59</f>
        <v>0</v>
      </c>
      <c r="F41" s="99">
        <f t="shared" si="13"/>
        <v>0</v>
      </c>
    </row>
    <row r="42" spans="1:6" ht="31.5">
      <c r="A42" s="7" t="s">
        <v>371</v>
      </c>
      <c r="B42" s="108"/>
      <c r="C42" s="30" t="s">
        <v>319</v>
      </c>
      <c r="D42" s="99">
        <f>D43+D45</f>
        <v>5320.1</v>
      </c>
      <c r="E42" s="99">
        <f t="shared" ref="E42:F42" si="14">E43+E45</f>
        <v>0</v>
      </c>
      <c r="F42" s="99">
        <f t="shared" si="14"/>
        <v>0</v>
      </c>
    </row>
    <row r="43" spans="1:6" ht="31.5">
      <c r="A43" s="7" t="s">
        <v>371</v>
      </c>
      <c r="B43" s="108" t="s">
        <v>69</v>
      </c>
      <c r="C43" s="107" t="s">
        <v>95</v>
      </c>
      <c r="D43" s="99">
        <f>D44</f>
        <v>4343</v>
      </c>
      <c r="E43" s="99">
        <f t="shared" ref="E43:F43" si="15">E44</f>
        <v>0</v>
      </c>
      <c r="F43" s="99">
        <f t="shared" si="15"/>
        <v>0</v>
      </c>
    </row>
    <row r="44" spans="1:6" ht="31.5">
      <c r="A44" s="7" t="s">
        <v>371</v>
      </c>
      <c r="B44" s="108">
        <v>240</v>
      </c>
      <c r="C44" s="107" t="s">
        <v>216</v>
      </c>
      <c r="D44" s="99">
        <f>' № 5  рп, кцср, квр'!E521</f>
        <v>4343</v>
      </c>
      <c r="E44" s="99">
        <f>' № 5  рп, кцср, квр'!F521</f>
        <v>0</v>
      </c>
      <c r="F44" s="99">
        <f>' № 5  рп, кцср, квр'!G521</f>
        <v>0</v>
      </c>
    </row>
    <row r="45" spans="1:6" ht="31.5">
      <c r="A45" s="7" t="s">
        <v>371</v>
      </c>
      <c r="B45" s="108" t="s">
        <v>97</v>
      </c>
      <c r="C45" s="107" t="s">
        <v>98</v>
      </c>
      <c r="D45" s="99">
        <f>D46</f>
        <v>977.1</v>
      </c>
      <c r="E45" s="99">
        <f t="shared" ref="E45:F45" si="16">E46</f>
        <v>0</v>
      </c>
      <c r="F45" s="99">
        <f t="shared" si="16"/>
        <v>0</v>
      </c>
    </row>
    <row r="46" spans="1:6">
      <c r="A46" s="7" t="s">
        <v>371</v>
      </c>
      <c r="B46" s="108">
        <v>610</v>
      </c>
      <c r="C46" s="107" t="s">
        <v>104</v>
      </c>
      <c r="D46" s="99">
        <f>' № 5  рп, кцср, квр'!E523+' № 5  рп, кцср, квр'!E444</f>
        <v>977.1</v>
      </c>
      <c r="E46" s="99">
        <f>' № 5  рп, кцср, квр'!F523+' № 5  рп, кцср, квр'!F444</f>
        <v>0</v>
      </c>
      <c r="F46" s="99">
        <f>' № 5  рп, кцср, квр'!G523+' № 5  рп, кцср, квр'!G444</f>
        <v>0</v>
      </c>
    </row>
    <row r="47" spans="1:6" ht="47.25">
      <c r="A47" s="7" t="s">
        <v>382</v>
      </c>
      <c r="B47" s="108"/>
      <c r="C47" s="30" t="s">
        <v>381</v>
      </c>
      <c r="D47" s="99">
        <f>D48</f>
        <v>1500</v>
      </c>
      <c r="E47" s="99">
        <f t="shared" ref="E47:F48" si="17">E48</f>
        <v>0</v>
      </c>
      <c r="F47" s="99">
        <f t="shared" si="17"/>
        <v>0</v>
      </c>
    </row>
    <row r="48" spans="1:6" ht="31.5">
      <c r="A48" s="7" t="s">
        <v>382</v>
      </c>
      <c r="B48" s="108" t="s">
        <v>97</v>
      </c>
      <c r="C48" s="107" t="s">
        <v>98</v>
      </c>
      <c r="D48" s="99">
        <f>D49</f>
        <v>1500</v>
      </c>
      <c r="E48" s="99">
        <f t="shared" si="17"/>
        <v>0</v>
      </c>
      <c r="F48" s="99">
        <f t="shared" si="17"/>
        <v>0</v>
      </c>
    </row>
    <row r="49" spans="1:6">
      <c r="A49" s="7" t="s">
        <v>382</v>
      </c>
      <c r="B49" s="108">
        <v>610</v>
      </c>
      <c r="C49" s="107" t="s">
        <v>104</v>
      </c>
      <c r="D49" s="99">
        <f>' № 5  рп, кцср, квр'!E526</f>
        <v>1500</v>
      </c>
      <c r="E49" s="99">
        <f>' № 5  рп, кцср, квр'!F526</f>
        <v>0</v>
      </c>
      <c r="F49" s="99">
        <f>' № 5  рп, кцср, квр'!G526</f>
        <v>0</v>
      </c>
    </row>
    <row r="50" spans="1:6" ht="31.5">
      <c r="A50" s="108" t="s">
        <v>375</v>
      </c>
      <c r="B50" s="108"/>
      <c r="C50" s="107" t="s">
        <v>380</v>
      </c>
      <c r="D50" s="99">
        <f>D51</f>
        <v>72733.599999999991</v>
      </c>
      <c r="E50" s="99">
        <f t="shared" ref="E50:F51" si="18">E51</f>
        <v>0</v>
      </c>
      <c r="F50" s="99">
        <f t="shared" si="18"/>
        <v>0</v>
      </c>
    </row>
    <row r="51" spans="1:6" ht="31.5">
      <c r="A51" s="108" t="s">
        <v>375</v>
      </c>
      <c r="B51" s="108" t="s">
        <v>69</v>
      </c>
      <c r="C51" s="107" t="s">
        <v>95</v>
      </c>
      <c r="D51" s="99">
        <f>D52</f>
        <v>72733.599999999991</v>
      </c>
      <c r="E51" s="99">
        <f t="shared" si="18"/>
        <v>0</v>
      </c>
      <c r="F51" s="99">
        <f t="shared" si="18"/>
        <v>0</v>
      </c>
    </row>
    <row r="52" spans="1:6" ht="31.5">
      <c r="A52" s="108" t="s">
        <v>375</v>
      </c>
      <c r="B52" s="108">
        <v>240</v>
      </c>
      <c r="C52" s="107" t="s">
        <v>216</v>
      </c>
      <c r="D52" s="99">
        <f>' № 5  рп, кцср, квр'!E529</f>
        <v>72733.599999999991</v>
      </c>
      <c r="E52" s="99">
        <f>' № 5  рп, кцср, квр'!F529</f>
        <v>0</v>
      </c>
      <c r="F52" s="99">
        <f>' № 5  рп, кцср, квр'!G529</f>
        <v>0</v>
      </c>
    </row>
    <row r="53" spans="1:6" ht="31.5">
      <c r="A53" s="108" t="s">
        <v>383</v>
      </c>
      <c r="B53" s="108"/>
      <c r="C53" s="22" t="s">
        <v>394</v>
      </c>
      <c r="D53" s="99">
        <f>D54</f>
        <v>16672.999999999996</v>
      </c>
      <c r="E53" s="99">
        <f t="shared" ref="E53:F54" si="19">E54</f>
        <v>0</v>
      </c>
      <c r="F53" s="99">
        <f t="shared" si="19"/>
        <v>0</v>
      </c>
    </row>
    <row r="54" spans="1:6" ht="31.5">
      <c r="A54" s="108" t="s">
        <v>383</v>
      </c>
      <c r="B54" s="108" t="s">
        <v>69</v>
      </c>
      <c r="C54" s="107" t="s">
        <v>95</v>
      </c>
      <c r="D54" s="99">
        <f>D55</f>
        <v>16672.999999999996</v>
      </c>
      <c r="E54" s="99">
        <f t="shared" si="19"/>
        <v>0</v>
      </c>
      <c r="F54" s="99">
        <f t="shared" si="19"/>
        <v>0</v>
      </c>
    </row>
    <row r="55" spans="1:6" ht="31.5">
      <c r="A55" s="108" t="s">
        <v>383</v>
      </c>
      <c r="B55" s="108">
        <v>240</v>
      </c>
      <c r="C55" s="107" t="s">
        <v>216</v>
      </c>
      <c r="D55" s="99">
        <f>' № 5  рп, кцср, квр'!E447</f>
        <v>16672.999999999996</v>
      </c>
      <c r="E55" s="99">
        <f>' № 5  рп, кцср, квр'!F447</f>
        <v>0</v>
      </c>
      <c r="F55" s="99">
        <f>' № 5  рп, кцср, квр'!G447</f>
        <v>0</v>
      </c>
    </row>
    <row r="56" spans="1:6" ht="31.5">
      <c r="A56" s="108" t="s">
        <v>425</v>
      </c>
      <c r="B56" s="108"/>
      <c r="C56" s="107" t="s">
        <v>426</v>
      </c>
      <c r="D56" s="99">
        <f>D57</f>
        <v>67100</v>
      </c>
      <c r="E56" s="99">
        <f t="shared" ref="E56:F57" si="20">E57</f>
        <v>0</v>
      </c>
      <c r="F56" s="99">
        <f t="shared" si="20"/>
        <v>0</v>
      </c>
    </row>
    <row r="57" spans="1:6" ht="31.5">
      <c r="A57" s="108" t="s">
        <v>425</v>
      </c>
      <c r="B57" s="108" t="s">
        <v>69</v>
      </c>
      <c r="C57" s="107" t="s">
        <v>95</v>
      </c>
      <c r="D57" s="99">
        <f>D58</f>
        <v>67100</v>
      </c>
      <c r="E57" s="99">
        <f t="shared" si="20"/>
        <v>0</v>
      </c>
      <c r="F57" s="99">
        <f t="shared" si="20"/>
        <v>0</v>
      </c>
    </row>
    <row r="58" spans="1:6" ht="31.5">
      <c r="A58" s="108" t="s">
        <v>425</v>
      </c>
      <c r="B58" s="108">
        <v>240</v>
      </c>
      <c r="C58" s="107" t="s">
        <v>216</v>
      </c>
      <c r="D58" s="99">
        <f>' № 5  рп, кцср, квр'!E450</f>
        <v>67100</v>
      </c>
      <c r="E58" s="99">
        <f>' № 5  рп, кцср, квр'!F450</f>
        <v>0</v>
      </c>
      <c r="F58" s="99">
        <f>' № 5  рп, кцср, квр'!G450</f>
        <v>0</v>
      </c>
    </row>
    <row r="59" spans="1:6" ht="31.5">
      <c r="A59" s="108" t="s">
        <v>436</v>
      </c>
      <c r="B59" s="108"/>
      <c r="C59" s="107" t="s">
        <v>437</v>
      </c>
      <c r="D59" s="99">
        <f>D60</f>
        <v>20779.099999999999</v>
      </c>
      <c r="E59" s="99">
        <f t="shared" ref="E59:F60" si="21">E60</f>
        <v>0</v>
      </c>
      <c r="F59" s="99">
        <f t="shared" si="21"/>
        <v>0</v>
      </c>
    </row>
    <row r="60" spans="1:6" ht="31.5">
      <c r="A60" s="108" t="s">
        <v>436</v>
      </c>
      <c r="B60" s="108" t="s">
        <v>69</v>
      </c>
      <c r="C60" s="107" t="s">
        <v>95</v>
      </c>
      <c r="D60" s="99">
        <f>D61</f>
        <v>20779.099999999999</v>
      </c>
      <c r="E60" s="99">
        <f t="shared" si="21"/>
        <v>0</v>
      </c>
      <c r="F60" s="99">
        <f t="shared" si="21"/>
        <v>0</v>
      </c>
    </row>
    <row r="61" spans="1:6" ht="31.5">
      <c r="A61" s="108" t="s">
        <v>436</v>
      </c>
      <c r="B61" s="108">
        <v>240</v>
      </c>
      <c r="C61" s="107" t="s">
        <v>216</v>
      </c>
      <c r="D61" s="99">
        <f>' № 5  рп, кцср, квр'!E453</f>
        <v>20779.099999999999</v>
      </c>
      <c r="E61" s="99">
        <f>' № 5  рп, кцср, квр'!F453</f>
        <v>0</v>
      </c>
      <c r="F61" s="99">
        <f>' № 5  рп, кцср, квр'!G453</f>
        <v>0</v>
      </c>
    </row>
    <row r="62" spans="1:6">
      <c r="A62" s="108">
        <v>3110600000</v>
      </c>
      <c r="B62" s="108"/>
      <c r="C62" s="107" t="s">
        <v>166</v>
      </c>
      <c r="D62" s="99">
        <f>D63</f>
        <v>3423.2000000000003</v>
      </c>
      <c r="E62" s="99">
        <f t="shared" ref="E62:F62" si="22">E63</f>
        <v>3423.2000000000003</v>
      </c>
      <c r="F62" s="99">
        <f t="shared" si="22"/>
        <v>3423.2000000000003</v>
      </c>
    </row>
    <row r="63" spans="1:6">
      <c r="A63" s="108" t="s">
        <v>362</v>
      </c>
      <c r="B63" s="108"/>
      <c r="C63" s="30" t="s">
        <v>368</v>
      </c>
      <c r="D63" s="99">
        <f>D64+D66</f>
        <v>3423.2000000000003</v>
      </c>
      <c r="E63" s="99">
        <f t="shared" ref="E63:F63" si="23">E64+E66</f>
        <v>3423.2000000000003</v>
      </c>
      <c r="F63" s="99">
        <f t="shared" si="23"/>
        <v>3423.2000000000003</v>
      </c>
    </row>
    <row r="64" spans="1:6">
      <c r="A64" s="108" t="s">
        <v>362</v>
      </c>
      <c r="B64" s="1" t="s">
        <v>73</v>
      </c>
      <c r="C64" s="26" t="s">
        <v>74</v>
      </c>
      <c r="D64" s="99">
        <f>D65</f>
        <v>90.3</v>
      </c>
      <c r="E64" s="99">
        <f t="shared" ref="E64:F64" si="24">E65</f>
        <v>166</v>
      </c>
      <c r="F64" s="99">
        <f t="shared" si="24"/>
        <v>166</v>
      </c>
    </row>
    <row r="65" spans="1:6" ht="31.5">
      <c r="A65" s="108" t="s">
        <v>362</v>
      </c>
      <c r="B65" s="108">
        <v>320</v>
      </c>
      <c r="C65" s="107" t="s">
        <v>102</v>
      </c>
      <c r="D65" s="99">
        <f>' № 5  рп, кцср, квр'!E672</f>
        <v>90.3</v>
      </c>
      <c r="E65" s="99">
        <f>' № 5  рп, кцср, квр'!F672</f>
        <v>166</v>
      </c>
      <c r="F65" s="99">
        <f>' № 5  рп, кцср, квр'!G672</f>
        <v>166</v>
      </c>
    </row>
    <row r="66" spans="1:6" ht="31.5">
      <c r="A66" s="108" t="s">
        <v>362</v>
      </c>
      <c r="B66" s="108" t="s">
        <v>97</v>
      </c>
      <c r="C66" s="107" t="s">
        <v>98</v>
      </c>
      <c r="D66" s="99">
        <f>D67</f>
        <v>3332.9</v>
      </c>
      <c r="E66" s="99">
        <f t="shared" ref="E66:F66" si="25">E67</f>
        <v>3257.2000000000003</v>
      </c>
      <c r="F66" s="99">
        <f t="shared" si="25"/>
        <v>3257.2000000000003</v>
      </c>
    </row>
    <row r="67" spans="1:6">
      <c r="A67" s="108" t="s">
        <v>362</v>
      </c>
      <c r="B67" s="108">
        <v>610</v>
      </c>
      <c r="C67" s="107" t="s">
        <v>104</v>
      </c>
      <c r="D67" s="99">
        <f>' № 5  рп, кцср, квр'!E674</f>
        <v>3332.9</v>
      </c>
      <c r="E67" s="99">
        <f>' № 5  рп, кцср, квр'!F674</f>
        <v>3257.2000000000003</v>
      </c>
      <c r="F67" s="99">
        <f>' № 5  рп, кцср, квр'!G674</f>
        <v>3257.2000000000003</v>
      </c>
    </row>
    <row r="68" spans="1:6" ht="47.25">
      <c r="A68" s="108">
        <v>3110800000</v>
      </c>
      <c r="B68" s="108"/>
      <c r="C68" s="107" t="s">
        <v>281</v>
      </c>
      <c r="D68" s="99">
        <f>D69+D72</f>
        <v>2735</v>
      </c>
      <c r="E68" s="99">
        <f t="shared" ref="E68:F68" si="26">E69+E72</f>
        <v>0</v>
      </c>
      <c r="F68" s="99">
        <f t="shared" si="26"/>
        <v>0</v>
      </c>
    </row>
    <row r="69" spans="1:6" ht="31.5">
      <c r="A69" s="108" t="s">
        <v>372</v>
      </c>
      <c r="B69" s="108"/>
      <c r="C69" s="107" t="s">
        <v>306</v>
      </c>
      <c r="D69" s="99">
        <f>D70</f>
        <v>1500</v>
      </c>
      <c r="E69" s="99">
        <f t="shared" ref="E69:F70" si="27">E70</f>
        <v>0</v>
      </c>
      <c r="F69" s="99">
        <f t="shared" si="27"/>
        <v>0</v>
      </c>
    </row>
    <row r="70" spans="1:6" ht="31.5">
      <c r="A70" s="108" t="s">
        <v>372</v>
      </c>
      <c r="B70" s="108" t="s">
        <v>97</v>
      </c>
      <c r="C70" s="107" t="s">
        <v>98</v>
      </c>
      <c r="D70" s="99">
        <f>D71</f>
        <v>1500</v>
      </c>
      <c r="E70" s="99">
        <f t="shared" si="27"/>
        <v>0</v>
      </c>
      <c r="F70" s="99">
        <f t="shared" si="27"/>
        <v>0</v>
      </c>
    </row>
    <row r="71" spans="1:6">
      <c r="A71" s="108" t="s">
        <v>372</v>
      </c>
      <c r="B71" s="108">
        <v>610</v>
      </c>
      <c r="C71" s="107" t="s">
        <v>104</v>
      </c>
      <c r="D71" s="99">
        <f>' № 5  рп, кцср, квр'!E457</f>
        <v>1500</v>
      </c>
      <c r="E71" s="99">
        <f>' № 5  рп, кцср, квр'!F457</f>
        <v>0</v>
      </c>
      <c r="F71" s="99">
        <f>' № 5  рп, кцср, квр'!G457</f>
        <v>0</v>
      </c>
    </row>
    <row r="72" spans="1:6" ht="47.25">
      <c r="A72" s="108" t="s">
        <v>373</v>
      </c>
      <c r="B72" s="108"/>
      <c r="C72" s="107" t="s">
        <v>406</v>
      </c>
      <c r="D72" s="99">
        <f>D73</f>
        <v>1235</v>
      </c>
      <c r="E72" s="99">
        <f t="shared" ref="E72:F73" si="28">E73</f>
        <v>0</v>
      </c>
      <c r="F72" s="99">
        <f t="shared" si="28"/>
        <v>0</v>
      </c>
    </row>
    <row r="73" spans="1:6" ht="31.5">
      <c r="A73" s="108" t="s">
        <v>373</v>
      </c>
      <c r="B73" s="108" t="s">
        <v>97</v>
      </c>
      <c r="C73" s="107" t="s">
        <v>98</v>
      </c>
      <c r="D73" s="99">
        <f>D74</f>
        <v>1235</v>
      </c>
      <c r="E73" s="99">
        <f t="shared" si="28"/>
        <v>0</v>
      </c>
      <c r="F73" s="99">
        <f t="shared" si="28"/>
        <v>0</v>
      </c>
    </row>
    <row r="74" spans="1:6">
      <c r="A74" s="108" t="s">
        <v>373</v>
      </c>
      <c r="B74" s="108">
        <v>610</v>
      </c>
      <c r="C74" s="107" t="s">
        <v>104</v>
      </c>
      <c r="D74" s="99">
        <f>' № 5  рп, кцср, квр'!E460</f>
        <v>1235</v>
      </c>
      <c r="E74" s="99">
        <f>' № 5  рп, кцср, квр'!F460</f>
        <v>0</v>
      </c>
      <c r="F74" s="99">
        <f>' № 5  рп, кцср, квр'!G460</f>
        <v>0</v>
      </c>
    </row>
    <row r="75" spans="1:6" ht="63">
      <c r="A75" s="108">
        <v>3111000000</v>
      </c>
      <c r="B75" s="108"/>
      <c r="C75" s="107" t="s">
        <v>429</v>
      </c>
      <c r="D75" s="99">
        <f>D79+D76</f>
        <v>8109.5</v>
      </c>
      <c r="E75" s="99">
        <f t="shared" ref="E75:F75" si="29">E79+E76</f>
        <v>0</v>
      </c>
      <c r="F75" s="99">
        <f t="shared" si="29"/>
        <v>0</v>
      </c>
    </row>
    <row r="76" spans="1:6" ht="31.5">
      <c r="A76" s="108">
        <v>3111020030</v>
      </c>
      <c r="B76" s="108"/>
      <c r="C76" s="107" t="s">
        <v>282</v>
      </c>
      <c r="D76" s="99">
        <f>D77</f>
        <v>3985.5</v>
      </c>
      <c r="E76" s="99">
        <f t="shared" ref="E76:F77" si="30">E77</f>
        <v>0</v>
      </c>
      <c r="F76" s="99">
        <f t="shared" si="30"/>
        <v>0</v>
      </c>
    </row>
    <row r="77" spans="1:6" ht="31.5">
      <c r="A77" s="108">
        <v>3111020030</v>
      </c>
      <c r="B77" s="108" t="s">
        <v>97</v>
      </c>
      <c r="C77" s="107" t="s">
        <v>98</v>
      </c>
      <c r="D77" s="99">
        <f>D78</f>
        <v>3985.5</v>
      </c>
      <c r="E77" s="99">
        <f t="shared" si="30"/>
        <v>0</v>
      </c>
      <c r="F77" s="99">
        <f t="shared" si="30"/>
        <v>0</v>
      </c>
    </row>
    <row r="78" spans="1:6">
      <c r="A78" s="108">
        <v>3111020030</v>
      </c>
      <c r="B78" s="108">
        <v>610</v>
      </c>
      <c r="C78" s="107" t="s">
        <v>104</v>
      </c>
      <c r="D78" s="99">
        <f>' № 5  рп, кцср, квр'!E464</f>
        <v>3985.5</v>
      </c>
      <c r="E78" s="99">
        <f>' № 5  рп, кцср, квр'!F464</f>
        <v>0</v>
      </c>
      <c r="F78" s="99">
        <f>' № 5  рп, кцср, квр'!G464</f>
        <v>0</v>
      </c>
    </row>
    <row r="79" spans="1:6" ht="47.25">
      <c r="A79" s="108" t="s">
        <v>427</v>
      </c>
      <c r="B79" s="108"/>
      <c r="C79" s="107" t="s">
        <v>428</v>
      </c>
      <c r="D79" s="99">
        <f>D80</f>
        <v>4124</v>
      </c>
      <c r="E79" s="99">
        <f t="shared" ref="E79:F80" si="31">E80</f>
        <v>0</v>
      </c>
      <c r="F79" s="99">
        <f t="shared" si="31"/>
        <v>0</v>
      </c>
    </row>
    <row r="80" spans="1:6" ht="31.5">
      <c r="A80" s="108" t="s">
        <v>427</v>
      </c>
      <c r="B80" s="108" t="s">
        <v>69</v>
      </c>
      <c r="C80" s="107" t="s">
        <v>95</v>
      </c>
      <c r="D80" s="99">
        <f>D81</f>
        <v>4124</v>
      </c>
      <c r="E80" s="99">
        <f t="shared" si="31"/>
        <v>0</v>
      </c>
      <c r="F80" s="99">
        <f t="shared" si="31"/>
        <v>0</v>
      </c>
    </row>
    <row r="81" spans="1:6" ht="31.5">
      <c r="A81" s="108" t="s">
        <v>427</v>
      </c>
      <c r="B81" s="108">
        <v>240</v>
      </c>
      <c r="C81" s="107" t="s">
        <v>216</v>
      </c>
      <c r="D81" s="99">
        <f>' № 5  рп, кцср, квр'!E467</f>
        <v>4124</v>
      </c>
      <c r="E81" s="99">
        <f>' № 5  рп, кцср, квр'!F467</f>
        <v>0</v>
      </c>
      <c r="F81" s="99">
        <f>' № 5  рп, кцср, квр'!G467</f>
        <v>0</v>
      </c>
    </row>
    <row r="82" spans="1:6" ht="31.5">
      <c r="A82" s="7" t="s">
        <v>466</v>
      </c>
      <c r="B82" s="108"/>
      <c r="C82" s="107" t="s">
        <v>467</v>
      </c>
      <c r="D82" s="99">
        <f>D86+D83</f>
        <v>1949.1</v>
      </c>
      <c r="E82" s="99">
        <f t="shared" ref="E82:F82" si="32">E86+E83</f>
        <v>0</v>
      </c>
      <c r="F82" s="99">
        <f t="shared" si="32"/>
        <v>0</v>
      </c>
    </row>
    <row r="83" spans="1:6">
      <c r="A83" s="7" t="s">
        <v>472</v>
      </c>
      <c r="B83" s="108"/>
      <c r="C83" s="107" t="s">
        <v>473</v>
      </c>
      <c r="D83" s="99">
        <f>D84</f>
        <v>1172</v>
      </c>
      <c r="E83" s="99">
        <f t="shared" ref="E83:F84" si="33">E84</f>
        <v>0</v>
      </c>
      <c r="F83" s="99">
        <f t="shared" si="33"/>
        <v>0</v>
      </c>
    </row>
    <row r="84" spans="1:6" ht="31.5">
      <c r="A84" s="7" t="s">
        <v>472</v>
      </c>
      <c r="B84" s="108" t="s">
        <v>97</v>
      </c>
      <c r="C84" s="107" t="s">
        <v>98</v>
      </c>
      <c r="D84" s="99">
        <f>D85</f>
        <v>1172</v>
      </c>
      <c r="E84" s="99">
        <f t="shared" si="33"/>
        <v>0</v>
      </c>
      <c r="F84" s="99">
        <f t="shared" si="33"/>
        <v>0</v>
      </c>
    </row>
    <row r="85" spans="1:6">
      <c r="A85" s="7" t="s">
        <v>472</v>
      </c>
      <c r="B85" s="108">
        <v>610</v>
      </c>
      <c r="C85" s="107" t="s">
        <v>104</v>
      </c>
      <c r="D85" s="99">
        <f>' № 5  рп, кцср, квр'!E533</f>
        <v>1172</v>
      </c>
      <c r="E85" s="99">
        <f>' № 5  рп, кцср, квр'!F533</f>
        <v>0</v>
      </c>
      <c r="F85" s="99">
        <f>' № 5  рп, кцср, квр'!G533</f>
        <v>0</v>
      </c>
    </row>
    <row r="86" spans="1:6" ht="31.5">
      <c r="A86" s="7" t="s">
        <v>468</v>
      </c>
      <c r="B86" s="108"/>
      <c r="C86" s="107" t="s">
        <v>469</v>
      </c>
      <c r="D86" s="99">
        <f>D87</f>
        <v>777.1</v>
      </c>
      <c r="E86" s="99">
        <f t="shared" ref="E86:F87" si="34">E87</f>
        <v>0</v>
      </c>
      <c r="F86" s="99">
        <f t="shared" si="34"/>
        <v>0</v>
      </c>
    </row>
    <row r="87" spans="1:6" ht="31.5">
      <c r="A87" s="7" t="s">
        <v>468</v>
      </c>
      <c r="B87" s="108" t="s">
        <v>97</v>
      </c>
      <c r="C87" s="107" t="s">
        <v>98</v>
      </c>
      <c r="D87" s="99">
        <f>D88</f>
        <v>777.1</v>
      </c>
      <c r="E87" s="99">
        <f t="shared" si="34"/>
        <v>0</v>
      </c>
      <c r="F87" s="99">
        <f t="shared" si="34"/>
        <v>0</v>
      </c>
    </row>
    <row r="88" spans="1:6">
      <c r="A88" s="7" t="s">
        <v>468</v>
      </c>
      <c r="B88" s="108">
        <v>610</v>
      </c>
      <c r="C88" s="107" t="s">
        <v>104</v>
      </c>
      <c r="D88" s="99">
        <f>' № 5  рп, кцср, квр'!E536</f>
        <v>777.1</v>
      </c>
      <c r="E88" s="99">
        <f>' № 5  рп, кцср, квр'!F536</f>
        <v>0</v>
      </c>
      <c r="F88" s="99">
        <f>' № 5  рп, кцср, квр'!G536</f>
        <v>0</v>
      </c>
    </row>
    <row r="89" spans="1:6" ht="31.5">
      <c r="A89" s="108" t="s">
        <v>342</v>
      </c>
      <c r="B89" s="100"/>
      <c r="C89" s="107" t="s">
        <v>299</v>
      </c>
      <c r="D89" s="99">
        <f>D90+D93</f>
        <v>13060.500000000002</v>
      </c>
      <c r="E89" s="99">
        <f t="shared" ref="E89:F89" si="35">E90+E93</f>
        <v>82195.199999999997</v>
      </c>
      <c r="F89" s="99">
        <f t="shared" si="35"/>
        <v>0</v>
      </c>
    </row>
    <row r="90" spans="1:6" ht="31.5">
      <c r="A90" s="108" t="s">
        <v>343</v>
      </c>
      <c r="B90" s="108"/>
      <c r="C90" s="107" t="s">
        <v>298</v>
      </c>
      <c r="D90" s="99">
        <f>D91</f>
        <v>12389.000000000002</v>
      </c>
      <c r="E90" s="99">
        <f t="shared" ref="E90:F91" si="36">E91</f>
        <v>82072.099999999991</v>
      </c>
      <c r="F90" s="99">
        <f t="shared" si="36"/>
        <v>0</v>
      </c>
    </row>
    <row r="91" spans="1:6" ht="31.5">
      <c r="A91" s="108" t="s">
        <v>343</v>
      </c>
      <c r="B91" s="108" t="s">
        <v>69</v>
      </c>
      <c r="C91" s="107" t="s">
        <v>95</v>
      </c>
      <c r="D91" s="99">
        <f>D92</f>
        <v>12389.000000000002</v>
      </c>
      <c r="E91" s="99">
        <f t="shared" si="36"/>
        <v>82072.099999999991</v>
      </c>
      <c r="F91" s="99">
        <f t="shared" si="36"/>
        <v>0</v>
      </c>
    </row>
    <row r="92" spans="1:6" ht="31.5">
      <c r="A92" s="108" t="s">
        <v>343</v>
      </c>
      <c r="B92" s="108">
        <v>240</v>
      </c>
      <c r="C92" s="107" t="s">
        <v>216</v>
      </c>
      <c r="D92" s="99">
        <f>' № 5  рп, кцср, квр'!E540</f>
        <v>12389.000000000002</v>
      </c>
      <c r="E92" s="99">
        <f>' № 5  рп, кцср, квр'!F540</f>
        <v>82072.099999999991</v>
      </c>
      <c r="F92" s="99">
        <f>' № 5  рп, кцср, квр'!G540</f>
        <v>0</v>
      </c>
    </row>
    <row r="93" spans="1:6" ht="31.5">
      <c r="A93" s="108" t="s">
        <v>344</v>
      </c>
      <c r="B93" s="101"/>
      <c r="C93" s="22" t="s">
        <v>424</v>
      </c>
      <c r="D93" s="99">
        <f>D94</f>
        <v>671.5</v>
      </c>
      <c r="E93" s="99">
        <f t="shared" ref="E93:F94" si="37">E94</f>
        <v>123.1</v>
      </c>
      <c r="F93" s="99">
        <f t="shared" si="37"/>
        <v>0</v>
      </c>
    </row>
    <row r="94" spans="1:6" ht="31.5">
      <c r="A94" s="108" t="s">
        <v>344</v>
      </c>
      <c r="B94" s="108" t="s">
        <v>69</v>
      </c>
      <c r="C94" s="107" t="s">
        <v>95</v>
      </c>
      <c r="D94" s="99">
        <f>D95</f>
        <v>671.5</v>
      </c>
      <c r="E94" s="99">
        <f t="shared" si="37"/>
        <v>123.1</v>
      </c>
      <c r="F94" s="99">
        <f t="shared" si="37"/>
        <v>0</v>
      </c>
    </row>
    <row r="95" spans="1:6" ht="31.5">
      <c r="A95" s="108" t="s">
        <v>344</v>
      </c>
      <c r="B95" s="108">
        <v>240</v>
      </c>
      <c r="C95" s="107" t="s">
        <v>216</v>
      </c>
      <c r="D95" s="99">
        <f>' № 5  рп, кцср, квр'!E543</f>
        <v>671.5</v>
      </c>
      <c r="E95" s="99">
        <f>' № 5  рп, кцср, квр'!F543</f>
        <v>123.1</v>
      </c>
      <c r="F95" s="99">
        <f>' № 5  рп, кцср, квр'!G543</f>
        <v>0</v>
      </c>
    </row>
    <row r="96" spans="1:6" ht="31.5">
      <c r="A96" s="108" t="s">
        <v>359</v>
      </c>
      <c r="B96" s="108"/>
      <c r="C96" s="52" t="s">
        <v>300</v>
      </c>
      <c r="D96" s="99">
        <f>D100+D97+D103</f>
        <v>32169.800000000003</v>
      </c>
      <c r="E96" s="99">
        <f t="shared" ref="E96:F96" si="38">E100+E97+E103</f>
        <v>32236.300000000003</v>
      </c>
      <c r="F96" s="99">
        <f t="shared" si="38"/>
        <v>32272.800000000003</v>
      </c>
    </row>
    <row r="97" spans="1:6" ht="47.25">
      <c r="A97" s="89" t="s">
        <v>418</v>
      </c>
      <c r="B97" s="108"/>
      <c r="C97" s="5" t="s">
        <v>417</v>
      </c>
      <c r="D97" s="99">
        <f>D98</f>
        <v>859.3</v>
      </c>
      <c r="E97" s="99">
        <f t="shared" ref="E97:F98" si="39">E98</f>
        <v>859.3</v>
      </c>
      <c r="F97" s="99">
        <f t="shared" si="39"/>
        <v>859.3</v>
      </c>
    </row>
    <row r="98" spans="1:6" ht="31.5">
      <c r="A98" s="89" t="s">
        <v>418</v>
      </c>
      <c r="B98" s="108" t="s">
        <v>97</v>
      </c>
      <c r="C98" s="107" t="s">
        <v>98</v>
      </c>
      <c r="D98" s="99">
        <f>D99</f>
        <v>859.3</v>
      </c>
      <c r="E98" s="99">
        <f t="shared" si="39"/>
        <v>859.3</v>
      </c>
      <c r="F98" s="99">
        <f t="shared" si="39"/>
        <v>859.3</v>
      </c>
    </row>
    <row r="99" spans="1:6">
      <c r="A99" s="89" t="s">
        <v>418</v>
      </c>
      <c r="B99" s="108">
        <v>610</v>
      </c>
      <c r="C99" s="107" t="s">
        <v>104</v>
      </c>
      <c r="D99" s="99">
        <f>' № 5  рп, кцср, квр'!E547</f>
        <v>859.3</v>
      </c>
      <c r="E99" s="99">
        <f>' № 5  рп, кцср, квр'!F547</f>
        <v>859.3</v>
      </c>
      <c r="F99" s="99">
        <f>' № 5  рп, кцср, квр'!G547</f>
        <v>859.3</v>
      </c>
    </row>
    <row r="100" spans="1:6" ht="47.25">
      <c r="A100" s="89" t="s">
        <v>360</v>
      </c>
      <c r="B100" s="108"/>
      <c r="C100" s="5" t="s">
        <v>275</v>
      </c>
      <c r="D100" s="99">
        <f>D101</f>
        <v>2874.8</v>
      </c>
      <c r="E100" s="99">
        <f t="shared" ref="E100:F101" si="40">E101</f>
        <v>2941.3</v>
      </c>
      <c r="F100" s="99">
        <f t="shared" si="40"/>
        <v>2977.8</v>
      </c>
    </row>
    <row r="101" spans="1:6" ht="31.5">
      <c r="A101" s="89" t="s">
        <v>360</v>
      </c>
      <c r="B101" s="108" t="s">
        <v>97</v>
      </c>
      <c r="C101" s="107" t="s">
        <v>98</v>
      </c>
      <c r="D101" s="99">
        <f>D102</f>
        <v>2874.8</v>
      </c>
      <c r="E101" s="99">
        <f t="shared" si="40"/>
        <v>2941.3</v>
      </c>
      <c r="F101" s="99">
        <f t="shared" si="40"/>
        <v>2977.8</v>
      </c>
    </row>
    <row r="102" spans="1:6">
      <c r="A102" s="89" t="s">
        <v>360</v>
      </c>
      <c r="B102" s="108">
        <v>610</v>
      </c>
      <c r="C102" s="107" t="s">
        <v>104</v>
      </c>
      <c r="D102" s="99">
        <f>' № 5  рп, кцср, квр'!E550</f>
        <v>2874.8</v>
      </c>
      <c r="E102" s="99">
        <f>' № 5  рп, кцср, квр'!F550</f>
        <v>2941.3</v>
      </c>
      <c r="F102" s="99">
        <f>' № 5  рп, кцср, квр'!G550</f>
        <v>2977.8</v>
      </c>
    </row>
    <row r="103" spans="1:6" ht="47.25">
      <c r="A103" s="89" t="s">
        <v>420</v>
      </c>
      <c r="B103" s="108"/>
      <c r="C103" s="33" t="s">
        <v>419</v>
      </c>
      <c r="D103" s="99">
        <f>D104</f>
        <v>28435.7</v>
      </c>
      <c r="E103" s="99">
        <f t="shared" ref="E103:F104" si="41">E104</f>
        <v>28435.7</v>
      </c>
      <c r="F103" s="99">
        <f t="shared" si="41"/>
        <v>28435.7</v>
      </c>
    </row>
    <row r="104" spans="1:6" ht="31.5">
      <c r="A104" s="89" t="s">
        <v>420</v>
      </c>
      <c r="B104" s="108" t="s">
        <v>97</v>
      </c>
      <c r="C104" s="107" t="s">
        <v>98</v>
      </c>
      <c r="D104" s="99">
        <f>D105</f>
        <v>28435.7</v>
      </c>
      <c r="E104" s="99">
        <f t="shared" si="41"/>
        <v>28435.7</v>
      </c>
      <c r="F104" s="99">
        <f t="shared" si="41"/>
        <v>28435.7</v>
      </c>
    </row>
    <row r="105" spans="1:6">
      <c r="A105" s="89" t="s">
        <v>420</v>
      </c>
      <c r="B105" s="108">
        <v>610</v>
      </c>
      <c r="C105" s="107" t="s">
        <v>104</v>
      </c>
      <c r="D105" s="99">
        <f>' № 5  рп, кцср, квр'!E553</f>
        <v>28435.7</v>
      </c>
      <c r="E105" s="99">
        <f>' № 5  рп, кцср, квр'!F553</f>
        <v>28435.7</v>
      </c>
      <c r="F105" s="99">
        <f>' № 5  рп, кцср, квр'!G553</f>
        <v>28435.7</v>
      </c>
    </row>
    <row r="106" spans="1:6">
      <c r="A106" s="108">
        <v>3120000000</v>
      </c>
      <c r="B106" s="108"/>
      <c r="C106" s="107" t="s">
        <v>121</v>
      </c>
      <c r="D106" s="99">
        <f>D107+D123</f>
        <v>60895.7</v>
      </c>
      <c r="E106" s="99">
        <f>E107+E123</f>
        <v>61670.5</v>
      </c>
      <c r="F106" s="99">
        <f>F107+F123</f>
        <v>62038.899999999994</v>
      </c>
    </row>
    <row r="107" spans="1:6" ht="47.25">
      <c r="A107" s="108">
        <v>3120100000</v>
      </c>
      <c r="B107" s="108"/>
      <c r="C107" s="107" t="s">
        <v>122</v>
      </c>
      <c r="D107" s="99">
        <f>D108+D111+D114+D117+D120</f>
        <v>60610</v>
      </c>
      <c r="E107" s="99">
        <f t="shared" ref="E107:F107" si="42">E108+E111+E114+E117+E120</f>
        <v>61670.5</v>
      </c>
      <c r="F107" s="99">
        <f t="shared" si="42"/>
        <v>62038.899999999994</v>
      </c>
    </row>
    <row r="108" spans="1:6" ht="31.5">
      <c r="A108" s="108">
        <v>3120120010</v>
      </c>
      <c r="B108" s="108"/>
      <c r="C108" s="107" t="s">
        <v>123</v>
      </c>
      <c r="D108" s="99">
        <f>D109</f>
        <v>29880.799999999999</v>
      </c>
      <c r="E108" s="99">
        <f t="shared" ref="E108:F109" si="43">E109</f>
        <v>31282.400000000001</v>
      </c>
      <c r="F108" s="99">
        <f t="shared" si="43"/>
        <v>31611.200000000001</v>
      </c>
    </row>
    <row r="109" spans="1:6" ht="31.5">
      <c r="A109" s="108">
        <v>3120120010</v>
      </c>
      <c r="B109" s="108" t="s">
        <v>97</v>
      </c>
      <c r="C109" s="107" t="s">
        <v>98</v>
      </c>
      <c r="D109" s="99">
        <f>D110</f>
        <v>29880.799999999999</v>
      </c>
      <c r="E109" s="99">
        <f t="shared" si="43"/>
        <v>31282.400000000001</v>
      </c>
      <c r="F109" s="99">
        <f t="shared" si="43"/>
        <v>31611.200000000001</v>
      </c>
    </row>
    <row r="110" spans="1:6">
      <c r="A110" s="108">
        <v>3120120010</v>
      </c>
      <c r="B110" s="108">
        <v>610</v>
      </c>
      <c r="C110" s="107" t="s">
        <v>104</v>
      </c>
      <c r="D110" s="99">
        <f>' № 5  рп, кцср, квр'!E558+' № 5  рп, кцср, квр'!E603</f>
        <v>29880.799999999999</v>
      </c>
      <c r="E110" s="99">
        <f>' № 5  рп, кцср, квр'!F558+' № 5  рп, кцср, квр'!F603</f>
        <v>31282.400000000001</v>
      </c>
      <c r="F110" s="99">
        <f>' № 5  рп, кцср, квр'!G558+' № 5  рп, кцср, квр'!G603</f>
        <v>31611.200000000001</v>
      </c>
    </row>
    <row r="111" spans="1:6" ht="31.5">
      <c r="A111" s="108">
        <v>3120120020</v>
      </c>
      <c r="B111" s="108"/>
      <c r="C111" s="107" t="s">
        <v>273</v>
      </c>
      <c r="D111" s="99">
        <f>D112</f>
        <v>1778.8000000000002</v>
      </c>
      <c r="E111" s="99">
        <f t="shared" ref="E111:F112" si="44">E112</f>
        <v>1778.8000000000002</v>
      </c>
      <c r="F111" s="99">
        <f t="shared" si="44"/>
        <v>1778.8000000000002</v>
      </c>
    </row>
    <row r="112" spans="1:6" ht="31.5">
      <c r="A112" s="108">
        <v>3120120020</v>
      </c>
      <c r="B112" s="108" t="s">
        <v>97</v>
      </c>
      <c r="C112" s="107" t="s">
        <v>98</v>
      </c>
      <c r="D112" s="99">
        <f>D113</f>
        <v>1778.8000000000002</v>
      </c>
      <c r="E112" s="99">
        <f t="shared" si="44"/>
        <v>1778.8000000000002</v>
      </c>
      <c r="F112" s="99">
        <f t="shared" si="44"/>
        <v>1778.8000000000002</v>
      </c>
    </row>
    <row r="113" spans="1:6">
      <c r="A113" s="108">
        <v>3120120020</v>
      </c>
      <c r="B113" s="108">
        <v>610</v>
      </c>
      <c r="C113" s="107" t="s">
        <v>104</v>
      </c>
      <c r="D113" s="99">
        <f>' № 5  рп, кцср, квр'!E606</f>
        <v>1778.8000000000002</v>
      </c>
      <c r="E113" s="99">
        <f>' № 5  рп, кцср, квр'!F606</f>
        <v>1778.8000000000002</v>
      </c>
      <c r="F113" s="99">
        <f>' № 5  рп, кцср, квр'!G606</f>
        <v>1778.8000000000002</v>
      </c>
    </row>
    <row r="114" spans="1:6" ht="31.5">
      <c r="A114" s="108">
        <v>3120120030</v>
      </c>
      <c r="B114" s="108"/>
      <c r="C114" s="107" t="s">
        <v>370</v>
      </c>
      <c r="D114" s="99">
        <f>D115</f>
        <v>3106.5</v>
      </c>
      <c r="E114" s="99">
        <f t="shared" ref="E114:F115" si="45">E115</f>
        <v>3144.1</v>
      </c>
      <c r="F114" s="99">
        <f t="shared" si="45"/>
        <v>3183.7</v>
      </c>
    </row>
    <row r="115" spans="1:6" ht="31.5">
      <c r="A115" s="108">
        <v>3120120030</v>
      </c>
      <c r="B115" s="108" t="s">
        <v>97</v>
      </c>
      <c r="C115" s="107" t="s">
        <v>98</v>
      </c>
      <c r="D115" s="99">
        <f>D116</f>
        <v>3106.5</v>
      </c>
      <c r="E115" s="99">
        <f t="shared" si="45"/>
        <v>3144.1</v>
      </c>
      <c r="F115" s="99">
        <f t="shared" si="45"/>
        <v>3183.7</v>
      </c>
    </row>
    <row r="116" spans="1:6">
      <c r="A116" s="108">
        <v>3120120030</v>
      </c>
      <c r="B116" s="108">
        <v>610</v>
      </c>
      <c r="C116" s="107" t="s">
        <v>104</v>
      </c>
      <c r="D116" s="99">
        <f>' № 5  рп, кцср, квр'!E850</f>
        <v>3106.5</v>
      </c>
      <c r="E116" s="99">
        <f>' № 5  рп, кцср, квр'!F850</f>
        <v>3144.1</v>
      </c>
      <c r="F116" s="99">
        <f>' № 5  рп, кцср, квр'!G850</f>
        <v>3183.7</v>
      </c>
    </row>
    <row r="117" spans="1:6" ht="31.5">
      <c r="A117" s="108" t="s">
        <v>345</v>
      </c>
      <c r="B117" s="108"/>
      <c r="C117" s="30" t="s">
        <v>369</v>
      </c>
      <c r="D117" s="99">
        <f>D118</f>
        <v>25465.200000000001</v>
      </c>
      <c r="E117" s="99">
        <f t="shared" ref="E117:F118" si="46">E118</f>
        <v>25465.200000000001</v>
      </c>
      <c r="F117" s="99">
        <f t="shared" si="46"/>
        <v>25465.200000000001</v>
      </c>
    </row>
    <row r="118" spans="1:6" ht="31.5">
      <c r="A118" s="108" t="s">
        <v>345</v>
      </c>
      <c r="B118" s="108" t="s">
        <v>97</v>
      </c>
      <c r="C118" s="30" t="s">
        <v>98</v>
      </c>
      <c r="D118" s="99">
        <f>D119</f>
        <v>25465.200000000001</v>
      </c>
      <c r="E118" s="99">
        <f t="shared" si="46"/>
        <v>25465.200000000001</v>
      </c>
      <c r="F118" s="99">
        <f t="shared" si="46"/>
        <v>25465.200000000001</v>
      </c>
    </row>
    <row r="119" spans="1:6">
      <c r="A119" s="108" t="s">
        <v>345</v>
      </c>
      <c r="B119" s="108">
        <v>610</v>
      </c>
      <c r="C119" s="30" t="s">
        <v>104</v>
      </c>
      <c r="D119" s="99">
        <f>' № 5  рп, кцср, квр'!E609</f>
        <v>25465.200000000001</v>
      </c>
      <c r="E119" s="99">
        <f>' № 5  рп, кцср, квр'!F609</f>
        <v>25465.200000000001</v>
      </c>
      <c r="F119" s="99">
        <f>' № 5  рп, кцср, квр'!G609</f>
        <v>25465.200000000001</v>
      </c>
    </row>
    <row r="120" spans="1:6" ht="31.5">
      <c r="A120" s="108" t="s">
        <v>800</v>
      </c>
      <c r="B120" s="108"/>
      <c r="C120" s="30" t="s">
        <v>801</v>
      </c>
      <c r="D120" s="99">
        <f>D121</f>
        <v>378.69999999999993</v>
      </c>
      <c r="E120" s="99">
        <f t="shared" ref="E120:F121" si="47">E121</f>
        <v>0</v>
      </c>
      <c r="F120" s="99">
        <f t="shared" si="47"/>
        <v>0</v>
      </c>
    </row>
    <row r="121" spans="1:6" ht="31.5">
      <c r="A121" s="108" t="s">
        <v>800</v>
      </c>
      <c r="B121" s="108" t="s">
        <v>97</v>
      </c>
      <c r="C121" s="30" t="s">
        <v>98</v>
      </c>
      <c r="D121" s="99">
        <f>D122</f>
        <v>378.69999999999993</v>
      </c>
      <c r="E121" s="99">
        <f t="shared" si="47"/>
        <v>0</v>
      </c>
      <c r="F121" s="99">
        <f t="shared" si="47"/>
        <v>0</v>
      </c>
    </row>
    <row r="122" spans="1:6">
      <c r="A122" s="108" t="s">
        <v>800</v>
      </c>
      <c r="B122" s="108">
        <v>610</v>
      </c>
      <c r="C122" s="30" t="s">
        <v>104</v>
      </c>
      <c r="D122" s="99">
        <f>' № 5  рп, кцср, квр'!E561+' № 5  рп, кцср, квр'!E612</f>
        <v>378.69999999999993</v>
      </c>
      <c r="E122" s="99">
        <f>' № 5  рп, кцср, квр'!F561+' № 5  рп, кцср, квр'!F612</f>
        <v>0</v>
      </c>
      <c r="F122" s="99">
        <f>' № 5  рп, кцср, квр'!G561+' № 5  рп, кцср, квр'!G612</f>
        <v>0</v>
      </c>
    </row>
    <row r="123" spans="1:6" ht="47.25">
      <c r="A123" s="108">
        <v>3120200000</v>
      </c>
      <c r="B123" s="108"/>
      <c r="C123" s="30" t="s">
        <v>441</v>
      </c>
      <c r="D123" s="99">
        <f>D127+D124</f>
        <v>285.7</v>
      </c>
      <c r="E123" s="99">
        <f t="shared" ref="E123:F123" si="48">E127+E124</f>
        <v>0</v>
      </c>
      <c r="F123" s="99">
        <f t="shared" si="48"/>
        <v>0</v>
      </c>
    </row>
    <row r="124" spans="1:6" ht="31.5">
      <c r="A124" s="108">
        <v>3120220020</v>
      </c>
      <c r="B124" s="108"/>
      <c r="C124" s="30" t="s">
        <v>282</v>
      </c>
      <c r="D124" s="99">
        <f>D125</f>
        <v>13.2</v>
      </c>
      <c r="E124" s="99">
        <f t="shared" ref="E124:F125" si="49">E125</f>
        <v>0</v>
      </c>
      <c r="F124" s="99">
        <f t="shared" si="49"/>
        <v>0</v>
      </c>
    </row>
    <row r="125" spans="1:6" ht="31.5">
      <c r="A125" s="108">
        <v>3120220020</v>
      </c>
      <c r="B125" s="108" t="s">
        <v>97</v>
      </c>
      <c r="C125" s="30" t="s">
        <v>98</v>
      </c>
      <c r="D125" s="99">
        <f>D126</f>
        <v>13.2</v>
      </c>
      <c r="E125" s="99">
        <f t="shared" si="49"/>
        <v>0</v>
      </c>
      <c r="F125" s="99">
        <f t="shared" si="49"/>
        <v>0</v>
      </c>
    </row>
    <row r="126" spans="1:6">
      <c r="A126" s="108">
        <v>3120220020</v>
      </c>
      <c r="B126" s="108">
        <v>610</v>
      </c>
      <c r="C126" s="30" t="s">
        <v>104</v>
      </c>
      <c r="D126" s="99">
        <f>' № 5  рп, кцср, квр'!E616</f>
        <v>13.2</v>
      </c>
      <c r="E126" s="99">
        <f>' № 5  рп, кцср, квр'!F616</f>
        <v>0</v>
      </c>
      <c r="F126" s="99">
        <f>' № 5  рп, кцср, квр'!G616</f>
        <v>0</v>
      </c>
    </row>
    <row r="127" spans="1:6" ht="31.5">
      <c r="A127" s="108" t="s">
        <v>443</v>
      </c>
      <c r="B127" s="108"/>
      <c r="C127" s="30" t="s">
        <v>442</v>
      </c>
      <c r="D127" s="99">
        <f>D128</f>
        <v>272.5</v>
      </c>
      <c r="E127" s="99">
        <f t="shared" ref="E127:F128" si="50">E128</f>
        <v>0</v>
      </c>
      <c r="F127" s="99">
        <f t="shared" si="50"/>
        <v>0</v>
      </c>
    </row>
    <row r="128" spans="1:6" ht="31.5">
      <c r="A128" s="108" t="s">
        <v>443</v>
      </c>
      <c r="B128" s="108" t="s">
        <v>97</v>
      </c>
      <c r="C128" s="30" t="s">
        <v>98</v>
      </c>
      <c r="D128" s="99">
        <f>D129</f>
        <v>272.5</v>
      </c>
      <c r="E128" s="99">
        <f t="shared" si="50"/>
        <v>0</v>
      </c>
      <c r="F128" s="99">
        <f t="shared" si="50"/>
        <v>0</v>
      </c>
    </row>
    <row r="129" spans="1:6">
      <c r="A129" s="108" t="s">
        <v>443</v>
      </c>
      <c r="B129" s="108">
        <v>610</v>
      </c>
      <c r="C129" s="30" t="s">
        <v>104</v>
      </c>
      <c r="D129" s="99">
        <f>' № 5  рп, кцср, квр'!E619</f>
        <v>272.5</v>
      </c>
      <c r="E129" s="99">
        <f>' № 5  рп, кцср, квр'!F619</f>
        <v>0</v>
      </c>
      <c r="F129" s="99">
        <f>' № 5  рп, кцср, квр'!G619</f>
        <v>0</v>
      </c>
    </row>
    <row r="130" spans="1:6" ht="31.5">
      <c r="A130" s="108">
        <v>3130000000</v>
      </c>
      <c r="B130" s="108"/>
      <c r="C130" s="107" t="s">
        <v>114</v>
      </c>
      <c r="D130" s="99">
        <f>D131+D147+D141+D151</f>
        <v>4569</v>
      </c>
      <c r="E130" s="99">
        <f t="shared" ref="E130:F130" si="51">E131+E147+E141+E151</f>
        <v>615.70000000000005</v>
      </c>
      <c r="F130" s="99">
        <f t="shared" si="51"/>
        <v>615.70000000000005</v>
      </c>
    </row>
    <row r="131" spans="1:6" ht="31.5">
      <c r="A131" s="108">
        <v>3130100000</v>
      </c>
      <c r="B131" s="108"/>
      <c r="C131" s="107" t="s">
        <v>204</v>
      </c>
      <c r="D131" s="99">
        <f>D138+D132+D135</f>
        <v>785.8</v>
      </c>
      <c r="E131" s="99">
        <f t="shared" ref="E131:F131" si="52">E138+E132+E135</f>
        <v>600</v>
      </c>
      <c r="F131" s="99">
        <f t="shared" si="52"/>
        <v>600</v>
      </c>
    </row>
    <row r="132" spans="1:6" ht="31.5">
      <c r="A132" s="108">
        <v>3130120260</v>
      </c>
      <c r="B132" s="30"/>
      <c r="C132" s="107" t="s">
        <v>205</v>
      </c>
      <c r="D132" s="99">
        <f>D133</f>
        <v>125.8</v>
      </c>
      <c r="E132" s="99">
        <f t="shared" ref="E132:F133" si="53">E133</f>
        <v>0</v>
      </c>
      <c r="F132" s="99">
        <f t="shared" si="53"/>
        <v>0</v>
      </c>
    </row>
    <row r="133" spans="1:6" ht="31.5">
      <c r="A133" s="108">
        <v>3130120260</v>
      </c>
      <c r="B133" s="108" t="s">
        <v>69</v>
      </c>
      <c r="C133" s="107" t="s">
        <v>95</v>
      </c>
      <c r="D133" s="99">
        <f>D134</f>
        <v>125.8</v>
      </c>
      <c r="E133" s="99">
        <f t="shared" si="53"/>
        <v>0</v>
      </c>
      <c r="F133" s="99">
        <f t="shared" si="53"/>
        <v>0</v>
      </c>
    </row>
    <row r="134" spans="1:6" ht="31.5">
      <c r="A134" s="108">
        <v>3130120260</v>
      </c>
      <c r="B134" s="108">
        <v>240</v>
      </c>
      <c r="C134" s="107" t="s">
        <v>216</v>
      </c>
      <c r="D134" s="99">
        <f>' № 5  рп, кцср, квр'!E679</f>
        <v>125.8</v>
      </c>
      <c r="E134" s="99">
        <f>' № 5  рп, кцср, квр'!F679</f>
        <v>0</v>
      </c>
      <c r="F134" s="99">
        <f>' № 5  рп, кцср, квр'!G679</f>
        <v>0</v>
      </c>
    </row>
    <row r="135" spans="1:6" ht="31.5">
      <c r="A135" s="108">
        <v>3130121080</v>
      </c>
      <c r="B135" s="108"/>
      <c r="C135" s="107" t="s">
        <v>321</v>
      </c>
      <c r="D135" s="99">
        <f>D136</f>
        <v>60</v>
      </c>
      <c r="E135" s="99">
        <f t="shared" ref="E135:F136" si="54">E136</f>
        <v>0</v>
      </c>
      <c r="F135" s="99">
        <f t="shared" si="54"/>
        <v>0</v>
      </c>
    </row>
    <row r="136" spans="1:6" ht="31.5">
      <c r="A136" s="108">
        <v>3130121080</v>
      </c>
      <c r="B136" s="108" t="s">
        <v>97</v>
      </c>
      <c r="C136" s="107" t="s">
        <v>98</v>
      </c>
      <c r="D136" s="99">
        <f>D137</f>
        <v>60</v>
      </c>
      <c r="E136" s="99">
        <f t="shared" si="54"/>
        <v>0</v>
      </c>
      <c r="F136" s="99">
        <f t="shared" si="54"/>
        <v>0</v>
      </c>
    </row>
    <row r="137" spans="1:6">
      <c r="A137" s="108">
        <v>3130121080</v>
      </c>
      <c r="B137" s="108">
        <v>610</v>
      </c>
      <c r="C137" s="107" t="s">
        <v>104</v>
      </c>
      <c r="D137" s="99">
        <f>' № 5  рп, кцср, квр'!E566</f>
        <v>60</v>
      </c>
      <c r="E137" s="99">
        <f>' № 5  рп, кцср, квр'!F566</f>
        <v>0</v>
      </c>
      <c r="F137" s="99">
        <f>' № 5  рп, кцср, квр'!G566</f>
        <v>0</v>
      </c>
    </row>
    <row r="138" spans="1:6" ht="31.5">
      <c r="A138" s="108" t="s">
        <v>361</v>
      </c>
      <c r="B138" s="108"/>
      <c r="C138" s="107" t="s">
        <v>321</v>
      </c>
      <c r="D138" s="99">
        <f>D139</f>
        <v>600</v>
      </c>
      <c r="E138" s="99">
        <f t="shared" ref="E138:F139" si="55">E139</f>
        <v>600</v>
      </c>
      <c r="F138" s="99">
        <f t="shared" si="55"/>
        <v>600</v>
      </c>
    </row>
    <row r="139" spans="1:6" ht="31.5">
      <c r="A139" s="108" t="s">
        <v>361</v>
      </c>
      <c r="B139" s="108" t="s">
        <v>97</v>
      </c>
      <c r="C139" s="107" t="s">
        <v>98</v>
      </c>
      <c r="D139" s="99">
        <f>D140</f>
        <v>600</v>
      </c>
      <c r="E139" s="99">
        <f t="shared" si="55"/>
        <v>600</v>
      </c>
      <c r="F139" s="99">
        <f t="shared" si="55"/>
        <v>600</v>
      </c>
    </row>
    <row r="140" spans="1:6">
      <c r="A140" s="108" t="s">
        <v>361</v>
      </c>
      <c r="B140" s="108">
        <v>610</v>
      </c>
      <c r="C140" s="107" t="s">
        <v>104</v>
      </c>
      <c r="D140" s="99">
        <f>' № 5  рп, кцср, квр'!E569</f>
        <v>600</v>
      </c>
      <c r="E140" s="99">
        <f>' № 5  рп, кцср, квр'!F569</f>
        <v>600</v>
      </c>
      <c r="F140" s="99">
        <f>' № 5  рп, кцср, квр'!G569</f>
        <v>600</v>
      </c>
    </row>
    <row r="141" spans="1:6" ht="31.5">
      <c r="A141" s="108">
        <v>3130200000</v>
      </c>
      <c r="B141" s="108"/>
      <c r="C141" s="107" t="s">
        <v>167</v>
      </c>
      <c r="D141" s="99">
        <f>D142</f>
        <v>113.2</v>
      </c>
      <c r="E141" s="99">
        <f t="shared" ref="E141:F145" si="56">E142</f>
        <v>15.7</v>
      </c>
      <c r="F141" s="99">
        <f t="shared" si="56"/>
        <v>15.7</v>
      </c>
    </row>
    <row r="142" spans="1:6" ht="31.5">
      <c r="A142" s="108">
        <v>3130220270</v>
      </c>
      <c r="B142" s="108"/>
      <c r="C142" s="107" t="s">
        <v>168</v>
      </c>
      <c r="D142" s="99">
        <f>D145+D143</f>
        <v>113.2</v>
      </c>
      <c r="E142" s="99">
        <f t="shared" ref="E142:F142" si="57">E145+E143</f>
        <v>15.7</v>
      </c>
      <c r="F142" s="99">
        <f t="shared" si="57"/>
        <v>15.7</v>
      </c>
    </row>
    <row r="143" spans="1:6" ht="31.5">
      <c r="A143" s="108">
        <v>3130220270</v>
      </c>
      <c r="B143" s="108" t="s">
        <v>69</v>
      </c>
      <c r="C143" s="107" t="s">
        <v>95</v>
      </c>
      <c r="D143" s="99">
        <f>D144</f>
        <v>97.5</v>
      </c>
      <c r="E143" s="99">
        <f t="shared" ref="E143:F143" si="58">E144</f>
        <v>0</v>
      </c>
      <c r="F143" s="99">
        <f t="shared" si="58"/>
        <v>0</v>
      </c>
    </row>
    <row r="144" spans="1:6" ht="31.5">
      <c r="A144" s="108">
        <v>3130220270</v>
      </c>
      <c r="B144" s="108">
        <v>240</v>
      </c>
      <c r="C144" s="107" t="s">
        <v>216</v>
      </c>
      <c r="D144" s="99">
        <f>' № 5  рп, кцср, квр'!E683</f>
        <v>97.5</v>
      </c>
      <c r="E144" s="99">
        <f>' № 5  рп, кцср, квр'!F683</f>
        <v>0</v>
      </c>
      <c r="F144" s="99">
        <f>' № 5  рп, кцср, квр'!G683</f>
        <v>0</v>
      </c>
    </row>
    <row r="145" spans="1:6">
      <c r="A145" s="108">
        <v>3130220270</v>
      </c>
      <c r="B145" s="108" t="s">
        <v>73</v>
      </c>
      <c r="C145" s="107" t="s">
        <v>74</v>
      </c>
      <c r="D145" s="99">
        <f>D146</f>
        <v>15.7</v>
      </c>
      <c r="E145" s="99">
        <f t="shared" si="56"/>
        <v>15.7</v>
      </c>
      <c r="F145" s="99">
        <f t="shared" si="56"/>
        <v>15.7</v>
      </c>
    </row>
    <row r="146" spans="1:6">
      <c r="A146" s="108">
        <v>3130220270</v>
      </c>
      <c r="B146" s="108">
        <v>350</v>
      </c>
      <c r="C146" s="107" t="s">
        <v>149</v>
      </c>
      <c r="D146" s="99">
        <f>' № 5  рп, кцср, квр'!E647</f>
        <v>15.7</v>
      </c>
      <c r="E146" s="99">
        <f>' № 5  рп, кцср, квр'!F647</f>
        <v>15.7</v>
      </c>
      <c r="F146" s="99">
        <f>' № 5  рп, кцср, квр'!G647</f>
        <v>15.7</v>
      </c>
    </row>
    <row r="147" spans="1:6" ht="47.25">
      <c r="A147" s="108">
        <v>3130300000</v>
      </c>
      <c r="B147" s="30"/>
      <c r="C147" s="107" t="s">
        <v>115</v>
      </c>
      <c r="D147" s="99">
        <f>D148</f>
        <v>3590</v>
      </c>
      <c r="E147" s="99">
        <f>E148</f>
        <v>0</v>
      </c>
      <c r="F147" s="99">
        <f>F148</f>
        <v>0</v>
      </c>
    </row>
    <row r="148" spans="1:6" ht="31.5">
      <c r="A148" s="108">
        <v>3130320280</v>
      </c>
      <c r="B148" s="30"/>
      <c r="C148" s="107" t="s">
        <v>116</v>
      </c>
      <c r="D148" s="99">
        <f>D149</f>
        <v>3590</v>
      </c>
      <c r="E148" s="99">
        <f t="shared" ref="E148:F149" si="59">E149</f>
        <v>0</v>
      </c>
      <c r="F148" s="99">
        <f t="shared" si="59"/>
        <v>0</v>
      </c>
    </row>
    <row r="149" spans="1:6" ht="31.5">
      <c r="A149" s="108">
        <v>3130320280</v>
      </c>
      <c r="B149" s="108" t="s">
        <v>97</v>
      </c>
      <c r="C149" s="107" t="s">
        <v>98</v>
      </c>
      <c r="D149" s="99">
        <f>D150</f>
        <v>3590</v>
      </c>
      <c r="E149" s="99">
        <f t="shared" si="59"/>
        <v>0</v>
      </c>
      <c r="F149" s="99">
        <f t="shared" si="59"/>
        <v>0</v>
      </c>
    </row>
    <row r="150" spans="1:6">
      <c r="A150" s="108">
        <v>3130320280</v>
      </c>
      <c r="B150" s="108">
        <v>610</v>
      </c>
      <c r="C150" s="107" t="s">
        <v>104</v>
      </c>
      <c r="D150" s="99">
        <f>' № 5  рп, кцср, квр'!E573+' № 5  рп, кцср, квр'!E702</f>
        <v>3590</v>
      </c>
      <c r="E150" s="99">
        <f>' № 5  рп, кцср, квр'!F573+' № 5  рп, кцср, квр'!F702</f>
        <v>0</v>
      </c>
      <c r="F150" s="99">
        <f>' № 5  рп, кцср, квр'!G573+' № 5  рп, кцср, квр'!G702</f>
        <v>0</v>
      </c>
    </row>
    <row r="151" spans="1:6" ht="31.5">
      <c r="A151" s="108">
        <v>3130400000</v>
      </c>
      <c r="B151" s="108"/>
      <c r="C151" s="107" t="s">
        <v>136</v>
      </c>
      <c r="D151" s="99">
        <f>D152</f>
        <v>80</v>
      </c>
      <c r="E151" s="99">
        <f t="shared" ref="E151:F153" si="60">E152</f>
        <v>0</v>
      </c>
      <c r="F151" s="99">
        <f t="shared" si="60"/>
        <v>0</v>
      </c>
    </row>
    <row r="152" spans="1:6" ht="31.5">
      <c r="A152" s="108">
        <v>3130420290</v>
      </c>
      <c r="B152" s="108"/>
      <c r="C152" s="107" t="s">
        <v>137</v>
      </c>
      <c r="D152" s="99">
        <f>D153</f>
        <v>80</v>
      </c>
      <c r="E152" s="99">
        <f t="shared" si="60"/>
        <v>0</v>
      </c>
      <c r="F152" s="99">
        <f t="shared" si="60"/>
        <v>0</v>
      </c>
    </row>
    <row r="153" spans="1:6" ht="31.5">
      <c r="A153" s="108">
        <v>3130420290</v>
      </c>
      <c r="B153" s="108" t="s">
        <v>69</v>
      </c>
      <c r="C153" s="107" t="s">
        <v>95</v>
      </c>
      <c r="D153" s="99">
        <f>D154</f>
        <v>80</v>
      </c>
      <c r="E153" s="99">
        <f t="shared" si="60"/>
        <v>0</v>
      </c>
      <c r="F153" s="99">
        <f t="shared" si="60"/>
        <v>0</v>
      </c>
    </row>
    <row r="154" spans="1:6" ht="31.5">
      <c r="A154" s="108">
        <v>3130420290</v>
      </c>
      <c r="B154" s="108">
        <v>240</v>
      </c>
      <c r="C154" s="107" t="s">
        <v>216</v>
      </c>
      <c r="D154" s="99">
        <f>' № 5  рп, кцср, квр'!E651</f>
        <v>80</v>
      </c>
      <c r="E154" s="99">
        <f>' № 5  рп, кцср, квр'!F651</f>
        <v>0</v>
      </c>
      <c r="F154" s="99">
        <f>' № 5  рп, кцср, квр'!G651</f>
        <v>0</v>
      </c>
    </row>
    <row r="155" spans="1:6" ht="47.25">
      <c r="A155" s="19">
        <v>3200000000</v>
      </c>
      <c r="B155" s="20"/>
      <c r="C155" s="24" t="s">
        <v>329</v>
      </c>
      <c r="D155" s="98">
        <f>D156+D168+D188+D214+D229+D276</f>
        <v>163729.00000000003</v>
      </c>
      <c r="E155" s="98">
        <f>E156+E168+E188+E214+E229+E276</f>
        <v>165859.5</v>
      </c>
      <c r="F155" s="98">
        <f>F156+F168+F188+F214+F229+F276</f>
        <v>126581.1</v>
      </c>
    </row>
    <row r="156" spans="1:6">
      <c r="A156" s="108">
        <v>3210000000</v>
      </c>
      <c r="B156" s="108"/>
      <c r="C156" s="107" t="s">
        <v>177</v>
      </c>
      <c r="D156" s="99">
        <f>D157+D164</f>
        <v>23866.799999999999</v>
      </c>
      <c r="E156" s="99">
        <f t="shared" ref="E156:F156" si="61">E157+E164</f>
        <v>23750.1</v>
      </c>
      <c r="F156" s="99">
        <f t="shared" si="61"/>
        <v>23750.1</v>
      </c>
    </row>
    <row r="157" spans="1:6" ht="31.5">
      <c r="A157" s="108">
        <v>3210100000</v>
      </c>
      <c r="B157" s="108"/>
      <c r="C157" s="107" t="s">
        <v>178</v>
      </c>
      <c r="D157" s="99">
        <f>D158+D161</f>
        <v>23750.1</v>
      </c>
      <c r="E157" s="99">
        <f t="shared" ref="E157:F157" si="62">E158+E161</f>
        <v>23750.1</v>
      </c>
      <c r="F157" s="99">
        <f t="shared" si="62"/>
        <v>23750.1</v>
      </c>
    </row>
    <row r="158" spans="1:6" ht="31.5">
      <c r="A158" s="108">
        <v>3210120010</v>
      </c>
      <c r="B158" s="108"/>
      <c r="C158" s="107" t="s">
        <v>123</v>
      </c>
      <c r="D158" s="99">
        <f>D159</f>
        <v>8407.7000000000007</v>
      </c>
      <c r="E158" s="99">
        <f t="shared" ref="E158:F159" si="63">E159</f>
        <v>8407.7000000000007</v>
      </c>
      <c r="F158" s="99">
        <f t="shared" si="63"/>
        <v>8407.7000000000007</v>
      </c>
    </row>
    <row r="159" spans="1:6" ht="31.5">
      <c r="A159" s="108">
        <v>3210120010</v>
      </c>
      <c r="B159" s="108" t="s">
        <v>97</v>
      </c>
      <c r="C159" s="107" t="s">
        <v>98</v>
      </c>
      <c r="D159" s="99">
        <f>D160</f>
        <v>8407.7000000000007</v>
      </c>
      <c r="E159" s="99">
        <f t="shared" si="63"/>
        <v>8407.7000000000007</v>
      </c>
      <c r="F159" s="99">
        <f t="shared" si="63"/>
        <v>8407.7000000000007</v>
      </c>
    </row>
    <row r="160" spans="1:6">
      <c r="A160" s="108">
        <v>3210120010</v>
      </c>
      <c r="B160" s="108">
        <v>610</v>
      </c>
      <c r="C160" s="107" t="s">
        <v>104</v>
      </c>
      <c r="D160" s="99">
        <f>' № 5  рп, кцср, квр'!E708</f>
        <v>8407.7000000000007</v>
      </c>
      <c r="E160" s="99">
        <f>' № 5  рп, кцср, квр'!F708</f>
        <v>8407.7000000000007</v>
      </c>
      <c r="F160" s="99">
        <f>' № 5  рп, кцср, квр'!G708</f>
        <v>8407.7000000000007</v>
      </c>
    </row>
    <row r="161" spans="1:6" ht="31.5">
      <c r="A161" s="108" t="s">
        <v>348</v>
      </c>
      <c r="B161" s="108"/>
      <c r="C161" s="33" t="s">
        <v>379</v>
      </c>
      <c r="D161" s="99">
        <f>D162</f>
        <v>15342.4</v>
      </c>
      <c r="E161" s="99">
        <f t="shared" ref="E161:F162" si="64">E162</f>
        <v>15342.4</v>
      </c>
      <c r="F161" s="99">
        <f t="shared" si="64"/>
        <v>15342.4</v>
      </c>
    </row>
    <row r="162" spans="1:6" ht="31.5">
      <c r="A162" s="108" t="s">
        <v>348</v>
      </c>
      <c r="B162" s="108" t="s">
        <v>97</v>
      </c>
      <c r="C162" s="30" t="s">
        <v>98</v>
      </c>
      <c r="D162" s="99">
        <f>D163</f>
        <v>15342.4</v>
      </c>
      <c r="E162" s="99">
        <f t="shared" si="64"/>
        <v>15342.4</v>
      </c>
      <c r="F162" s="99">
        <f t="shared" si="64"/>
        <v>15342.4</v>
      </c>
    </row>
    <row r="163" spans="1:6">
      <c r="A163" s="108" t="s">
        <v>348</v>
      </c>
      <c r="B163" s="108">
        <v>610</v>
      </c>
      <c r="C163" s="30" t="s">
        <v>104</v>
      </c>
      <c r="D163" s="99">
        <f>' № 5  рп, кцср, квр'!E711</f>
        <v>15342.4</v>
      </c>
      <c r="E163" s="99">
        <f>' № 5  рп, кцср, квр'!F711</f>
        <v>15342.4</v>
      </c>
      <c r="F163" s="99">
        <f>' № 5  рп, кцср, квр'!G711</f>
        <v>15342.4</v>
      </c>
    </row>
    <row r="164" spans="1:6" ht="31.5">
      <c r="A164" s="108">
        <v>3210200000</v>
      </c>
      <c r="B164" s="108"/>
      <c r="C164" s="107" t="s">
        <v>179</v>
      </c>
      <c r="D164" s="99">
        <f>D165</f>
        <v>116.7</v>
      </c>
      <c r="E164" s="99">
        <f t="shared" ref="E164:F166" si="65">E165</f>
        <v>0</v>
      </c>
      <c r="F164" s="99">
        <f t="shared" si="65"/>
        <v>0</v>
      </c>
    </row>
    <row r="165" spans="1:6" ht="47.25">
      <c r="A165" s="108" t="s">
        <v>349</v>
      </c>
      <c r="B165" s="108"/>
      <c r="C165" s="107" t="s">
        <v>288</v>
      </c>
      <c r="D165" s="99">
        <f>D166</f>
        <v>116.7</v>
      </c>
      <c r="E165" s="99">
        <f t="shared" si="65"/>
        <v>0</v>
      </c>
      <c r="F165" s="99">
        <f t="shared" si="65"/>
        <v>0</v>
      </c>
    </row>
    <row r="166" spans="1:6" ht="31.5">
      <c r="A166" s="108" t="s">
        <v>349</v>
      </c>
      <c r="B166" s="108" t="s">
        <v>97</v>
      </c>
      <c r="C166" s="107" t="s">
        <v>98</v>
      </c>
      <c r="D166" s="99">
        <f>D167</f>
        <v>116.7</v>
      </c>
      <c r="E166" s="99">
        <f t="shared" si="65"/>
        <v>0</v>
      </c>
      <c r="F166" s="99">
        <f t="shared" si="65"/>
        <v>0</v>
      </c>
    </row>
    <row r="167" spans="1:6">
      <c r="A167" s="108" t="s">
        <v>349</v>
      </c>
      <c r="B167" s="108">
        <v>610</v>
      </c>
      <c r="C167" s="107" t="s">
        <v>104</v>
      </c>
      <c r="D167" s="99">
        <f>' № 5  рп, кцср, квр'!E715</f>
        <v>116.7</v>
      </c>
      <c r="E167" s="99">
        <f>' № 5  рп, кцср, квр'!F715</f>
        <v>0</v>
      </c>
      <c r="F167" s="99">
        <f>' № 5  рп, кцср, квр'!G715</f>
        <v>0</v>
      </c>
    </row>
    <row r="168" spans="1:6" ht="31.5">
      <c r="A168" s="108">
        <v>3220000000</v>
      </c>
      <c r="B168" s="108"/>
      <c r="C168" s="107" t="s">
        <v>138</v>
      </c>
      <c r="D168" s="99">
        <f>D169+D176+D184+D180</f>
        <v>78722</v>
      </c>
      <c r="E168" s="99">
        <f t="shared" ref="E168:F168" si="66">E169+E176+E184+E180</f>
        <v>86997.6</v>
      </c>
      <c r="F168" s="99">
        <f t="shared" si="66"/>
        <v>48564</v>
      </c>
    </row>
    <row r="169" spans="1:6" ht="31.5">
      <c r="A169" s="108">
        <v>3220100000</v>
      </c>
      <c r="B169" s="108"/>
      <c r="C169" s="107" t="s">
        <v>180</v>
      </c>
      <c r="D169" s="99">
        <f>D170+D173</f>
        <v>48875.8</v>
      </c>
      <c r="E169" s="99">
        <f t="shared" ref="E169:F169" si="67">E170+E173</f>
        <v>48556.2</v>
      </c>
      <c r="F169" s="99">
        <f t="shared" si="67"/>
        <v>48564</v>
      </c>
    </row>
    <row r="170" spans="1:6" ht="31.5">
      <c r="A170" s="108">
        <v>3220120010</v>
      </c>
      <c r="B170" s="108"/>
      <c r="C170" s="107" t="s">
        <v>123</v>
      </c>
      <c r="D170" s="99">
        <f>D171</f>
        <v>16963.3</v>
      </c>
      <c r="E170" s="99">
        <f t="shared" ref="E170:F171" si="68">E171</f>
        <v>16643.7</v>
      </c>
      <c r="F170" s="99">
        <f t="shared" si="68"/>
        <v>16651.5</v>
      </c>
    </row>
    <row r="171" spans="1:6" ht="31.5">
      <c r="A171" s="108">
        <v>3220120010</v>
      </c>
      <c r="B171" s="108" t="s">
        <v>97</v>
      </c>
      <c r="C171" s="107" t="s">
        <v>98</v>
      </c>
      <c r="D171" s="99">
        <f>D172</f>
        <v>16963.3</v>
      </c>
      <c r="E171" s="99">
        <f t="shared" si="68"/>
        <v>16643.7</v>
      </c>
      <c r="F171" s="99">
        <f t="shared" si="68"/>
        <v>16651.5</v>
      </c>
    </row>
    <row r="172" spans="1:6">
      <c r="A172" s="108">
        <v>3220120010</v>
      </c>
      <c r="B172" s="108">
        <v>610</v>
      </c>
      <c r="C172" s="107" t="s">
        <v>104</v>
      </c>
      <c r="D172" s="99">
        <f>' № 5  рп, кцср, квр'!E720+' № 5  рп, кцср, квр'!E657</f>
        <v>16963.3</v>
      </c>
      <c r="E172" s="99">
        <f>' № 5  рп, кцср, квр'!F720+' № 5  рп, кцср, квр'!F657</f>
        <v>16643.7</v>
      </c>
      <c r="F172" s="99">
        <f>' № 5  рп, кцср, квр'!G720+' № 5  рп, кцср, квр'!G657</f>
        <v>16651.5</v>
      </c>
    </row>
    <row r="173" spans="1:6" ht="31.5">
      <c r="A173" s="108" t="s">
        <v>350</v>
      </c>
      <c r="B173" s="108"/>
      <c r="C173" s="33" t="s">
        <v>379</v>
      </c>
      <c r="D173" s="99">
        <f>D174</f>
        <v>31912.5</v>
      </c>
      <c r="E173" s="99">
        <f t="shared" ref="E173:F174" si="69">E174</f>
        <v>31912.5</v>
      </c>
      <c r="F173" s="99">
        <f t="shared" si="69"/>
        <v>31912.5</v>
      </c>
    </row>
    <row r="174" spans="1:6" ht="31.5">
      <c r="A174" s="108" t="s">
        <v>350</v>
      </c>
      <c r="B174" s="108" t="s">
        <v>97</v>
      </c>
      <c r="C174" s="30" t="s">
        <v>98</v>
      </c>
      <c r="D174" s="99">
        <f>D175</f>
        <v>31912.5</v>
      </c>
      <c r="E174" s="99">
        <f t="shared" si="69"/>
        <v>31912.5</v>
      </c>
      <c r="F174" s="99">
        <f t="shared" si="69"/>
        <v>31912.5</v>
      </c>
    </row>
    <row r="175" spans="1:6">
      <c r="A175" s="108" t="s">
        <v>350</v>
      </c>
      <c r="B175" s="108">
        <v>610</v>
      </c>
      <c r="C175" s="30" t="s">
        <v>104</v>
      </c>
      <c r="D175" s="99">
        <f>' № 5  рп, кцср, квр'!E723</f>
        <v>31912.5</v>
      </c>
      <c r="E175" s="99">
        <f>' № 5  рп, кцср, квр'!F723</f>
        <v>31912.5</v>
      </c>
      <c r="F175" s="99">
        <f>' № 5  рп, кцср, квр'!G723</f>
        <v>31912.5</v>
      </c>
    </row>
    <row r="176" spans="1:6" ht="31.5">
      <c r="A176" s="108">
        <v>3220200000</v>
      </c>
      <c r="B176" s="108"/>
      <c r="C176" s="107" t="s">
        <v>181</v>
      </c>
      <c r="D176" s="99">
        <f>D177</f>
        <v>966.3</v>
      </c>
      <c r="E176" s="99">
        <f t="shared" ref="E176:F178" si="70">E177</f>
        <v>0</v>
      </c>
      <c r="F176" s="99">
        <f t="shared" si="70"/>
        <v>0</v>
      </c>
    </row>
    <row r="177" spans="1:6">
      <c r="A177" s="108">
        <v>3220220320</v>
      </c>
      <c r="B177" s="108"/>
      <c r="C177" s="107" t="s">
        <v>139</v>
      </c>
      <c r="D177" s="99">
        <f>D178</f>
        <v>966.3</v>
      </c>
      <c r="E177" s="99">
        <f t="shared" si="70"/>
        <v>0</v>
      </c>
      <c r="F177" s="99">
        <f t="shared" si="70"/>
        <v>0</v>
      </c>
    </row>
    <row r="178" spans="1:6" ht="31.5">
      <c r="A178" s="108">
        <v>3220220320</v>
      </c>
      <c r="B178" s="108" t="s">
        <v>97</v>
      </c>
      <c r="C178" s="107" t="s">
        <v>98</v>
      </c>
      <c r="D178" s="99">
        <f>D179</f>
        <v>966.3</v>
      </c>
      <c r="E178" s="99">
        <f t="shared" si="70"/>
        <v>0</v>
      </c>
      <c r="F178" s="99">
        <f t="shared" si="70"/>
        <v>0</v>
      </c>
    </row>
    <row r="179" spans="1:6">
      <c r="A179" s="108">
        <v>3220220320</v>
      </c>
      <c r="B179" s="108">
        <v>610</v>
      </c>
      <c r="C179" s="107" t="s">
        <v>104</v>
      </c>
      <c r="D179" s="99">
        <f>' № 5  рп, кцср, квр'!E727</f>
        <v>966.3</v>
      </c>
      <c r="E179" s="99">
        <f>' № 5  рп, кцср, квр'!F727</f>
        <v>0</v>
      </c>
      <c r="F179" s="99">
        <f>' № 5  рп, кцср, квр'!G727</f>
        <v>0</v>
      </c>
    </row>
    <row r="180" spans="1:6" ht="47.25">
      <c r="A180" s="108">
        <v>3220400000</v>
      </c>
      <c r="B180" s="108"/>
      <c r="C180" s="30" t="s">
        <v>440</v>
      </c>
      <c r="D180" s="99">
        <f>D181</f>
        <v>134.19999999999999</v>
      </c>
      <c r="E180" s="99">
        <f t="shared" ref="E180:F182" si="71">E181</f>
        <v>0</v>
      </c>
      <c r="F180" s="99">
        <f t="shared" si="71"/>
        <v>0</v>
      </c>
    </row>
    <row r="181" spans="1:6" ht="31.5">
      <c r="A181" s="108">
        <v>3220420020</v>
      </c>
      <c r="B181" s="108"/>
      <c r="C181" s="30" t="s">
        <v>319</v>
      </c>
      <c r="D181" s="99">
        <f>D182</f>
        <v>134.19999999999999</v>
      </c>
      <c r="E181" s="99">
        <f t="shared" si="71"/>
        <v>0</v>
      </c>
      <c r="F181" s="99">
        <f t="shared" si="71"/>
        <v>0</v>
      </c>
    </row>
    <row r="182" spans="1:6" ht="31.5">
      <c r="A182" s="108">
        <v>3220420020</v>
      </c>
      <c r="B182" s="108" t="s">
        <v>97</v>
      </c>
      <c r="C182" s="30" t="s">
        <v>98</v>
      </c>
      <c r="D182" s="99">
        <f>D183</f>
        <v>134.19999999999999</v>
      </c>
      <c r="E182" s="99">
        <f t="shared" si="71"/>
        <v>0</v>
      </c>
      <c r="F182" s="99">
        <f t="shared" si="71"/>
        <v>0</v>
      </c>
    </row>
    <row r="183" spans="1:6">
      <c r="A183" s="108">
        <v>3220420020</v>
      </c>
      <c r="B183" s="108">
        <v>610</v>
      </c>
      <c r="C183" s="30" t="s">
        <v>104</v>
      </c>
      <c r="D183" s="99">
        <f>' № 5  рп, кцср, квр'!E731</f>
        <v>134.19999999999999</v>
      </c>
      <c r="E183" s="99">
        <f>' № 5  рп, кцср, квр'!F731</f>
        <v>0</v>
      </c>
      <c r="F183" s="99">
        <f>' № 5  рп, кцср, квр'!G731</f>
        <v>0</v>
      </c>
    </row>
    <row r="184" spans="1:6" ht="47.25">
      <c r="A184" s="108" t="s">
        <v>397</v>
      </c>
      <c r="B184" s="108"/>
      <c r="C184" s="30" t="s">
        <v>396</v>
      </c>
      <c r="D184" s="99">
        <f>D185</f>
        <v>28745.7</v>
      </c>
      <c r="E184" s="99">
        <f t="shared" ref="E184:F186" si="72">E185</f>
        <v>38441.4</v>
      </c>
      <c r="F184" s="99">
        <f t="shared" si="72"/>
        <v>0</v>
      </c>
    </row>
    <row r="185" spans="1:6" ht="31.5">
      <c r="A185" s="108" t="s">
        <v>423</v>
      </c>
      <c r="B185" s="108"/>
      <c r="C185" s="30" t="s">
        <v>398</v>
      </c>
      <c r="D185" s="99">
        <f>D186</f>
        <v>28745.7</v>
      </c>
      <c r="E185" s="99">
        <f t="shared" si="72"/>
        <v>38441.4</v>
      </c>
      <c r="F185" s="99">
        <f t="shared" si="72"/>
        <v>0</v>
      </c>
    </row>
    <row r="186" spans="1:6" ht="31.5">
      <c r="A186" s="108" t="s">
        <v>423</v>
      </c>
      <c r="B186" s="108" t="s">
        <v>69</v>
      </c>
      <c r="C186" s="107" t="s">
        <v>95</v>
      </c>
      <c r="D186" s="99">
        <f>D187</f>
        <v>28745.7</v>
      </c>
      <c r="E186" s="99">
        <f t="shared" si="72"/>
        <v>38441.4</v>
      </c>
      <c r="F186" s="99">
        <f t="shared" si="72"/>
        <v>0</v>
      </c>
    </row>
    <row r="187" spans="1:6" ht="31.5">
      <c r="A187" s="108" t="s">
        <v>423</v>
      </c>
      <c r="B187" s="108">
        <v>240</v>
      </c>
      <c r="C187" s="107" t="s">
        <v>216</v>
      </c>
      <c r="D187" s="99">
        <f>' № 5  рп, кцср, квр'!E735</f>
        <v>28745.7</v>
      </c>
      <c r="E187" s="99">
        <f>' № 5  рп, кцср, квр'!F735</f>
        <v>38441.4</v>
      </c>
      <c r="F187" s="99">
        <f>' № 5  рп, кцср, квр'!G735</f>
        <v>0</v>
      </c>
    </row>
    <row r="188" spans="1:6">
      <c r="A188" s="108">
        <v>3230000000</v>
      </c>
      <c r="B188" s="108"/>
      <c r="C188" s="107" t="s">
        <v>186</v>
      </c>
      <c r="D188" s="99">
        <f>D189+D193+D197+D210</f>
        <v>24155</v>
      </c>
      <c r="E188" s="99">
        <f t="shared" ref="E188:F188" si="73">E189+E193+E197+E210</f>
        <v>23468.600000000002</v>
      </c>
      <c r="F188" s="99">
        <f t="shared" si="73"/>
        <v>23019.599999999999</v>
      </c>
    </row>
    <row r="189" spans="1:6" ht="31.5">
      <c r="A189" s="108">
        <v>3230100000</v>
      </c>
      <c r="B189" s="108"/>
      <c r="C189" s="107" t="s">
        <v>187</v>
      </c>
      <c r="D189" s="99">
        <f>D190</f>
        <v>20222.599999999999</v>
      </c>
      <c r="E189" s="99">
        <f t="shared" ref="E189:F191" si="74">E190</f>
        <v>20440.5</v>
      </c>
      <c r="F189" s="99">
        <f t="shared" si="74"/>
        <v>20667.099999999999</v>
      </c>
    </row>
    <row r="190" spans="1:6" ht="31.5">
      <c r="A190" s="108">
        <v>3230120010</v>
      </c>
      <c r="B190" s="108"/>
      <c r="C190" s="107" t="s">
        <v>123</v>
      </c>
      <c r="D190" s="99">
        <f>D191</f>
        <v>20222.599999999999</v>
      </c>
      <c r="E190" s="99">
        <f t="shared" si="74"/>
        <v>20440.5</v>
      </c>
      <c r="F190" s="99">
        <f t="shared" si="74"/>
        <v>20667.099999999999</v>
      </c>
    </row>
    <row r="191" spans="1:6" ht="31.5">
      <c r="A191" s="108">
        <v>3230120010</v>
      </c>
      <c r="B191" s="108" t="s">
        <v>97</v>
      </c>
      <c r="C191" s="107" t="s">
        <v>98</v>
      </c>
      <c r="D191" s="99">
        <f>D192</f>
        <v>20222.599999999999</v>
      </c>
      <c r="E191" s="99">
        <f t="shared" si="74"/>
        <v>20440.5</v>
      </c>
      <c r="F191" s="99">
        <f t="shared" si="74"/>
        <v>20667.099999999999</v>
      </c>
    </row>
    <row r="192" spans="1:6">
      <c r="A192" s="108">
        <v>3230120010</v>
      </c>
      <c r="B192" s="108">
        <v>610</v>
      </c>
      <c r="C192" s="107" t="s">
        <v>104</v>
      </c>
      <c r="D192" s="99">
        <f>' № 5  рп, кцср, квр'!E808</f>
        <v>20222.599999999999</v>
      </c>
      <c r="E192" s="99">
        <f>' № 5  рп, кцср, квр'!F808</f>
        <v>20440.5</v>
      </c>
      <c r="F192" s="99">
        <f>' № 5  рп, кцср, квр'!G808</f>
        <v>20667.099999999999</v>
      </c>
    </row>
    <row r="193" spans="1:6" ht="63">
      <c r="A193" s="108">
        <v>3230200000</v>
      </c>
      <c r="B193" s="108"/>
      <c r="C193" s="107" t="s">
        <v>188</v>
      </c>
      <c r="D193" s="99">
        <f>D194</f>
        <v>404.7</v>
      </c>
      <c r="E193" s="99">
        <f t="shared" ref="E193:F195" si="75">E194</f>
        <v>404.7</v>
      </c>
      <c r="F193" s="99">
        <f t="shared" si="75"/>
        <v>404.7</v>
      </c>
    </row>
    <row r="194" spans="1:6">
      <c r="A194" s="108">
        <v>3230220040</v>
      </c>
      <c r="B194" s="108"/>
      <c r="C194" s="107" t="s">
        <v>189</v>
      </c>
      <c r="D194" s="99">
        <f>D195</f>
        <v>404.7</v>
      </c>
      <c r="E194" s="99">
        <f t="shared" si="75"/>
        <v>404.7</v>
      </c>
      <c r="F194" s="99">
        <f t="shared" si="75"/>
        <v>404.7</v>
      </c>
    </row>
    <row r="195" spans="1:6" ht="31.5">
      <c r="A195" s="108">
        <v>3230220040</v>
      </c>
      <c r="B195" s="108" t="s">
        <v>97</v>
      </c>
      <c r="C195" s="107" t="s">
        <v>98</v>
      </c>
      <c r="D195" s="99">
        <f>D196</f>
        <v>404.7</v>
      </c>
      <c r="E195" s="99">
        <f t="shared" si="75"/>
        <v>404.7</v>
      </c>
      <c r="F195" s="99">
        <f t="shared" si="75"/>
        <v>404.7</v>
      </c>
    </row>
    <row r="196" spans="1:6">
      <c r="A196" s="108">
        <v>3230220040</v>
      </c>
      <c r="B196" s="108">
        <v>610</v>
      </c>
      <c r="C196" s="107" t="s">
        <v>104</v>
      </c>
      <c r="D196" s="99">
        <f>' № 5  рп, кцср, квр'!E812</f>
        <v>404.7</v>
      </c>
      <c r="E196" s="99">
        <f>' № 5  рп, кцср, квр'!F812</f>
        <v>404.7</v>
      </c>
      <c r="F196" s="99">
        <f>' № 5  рп, кцср, квр'!G812</f>
        <v>404.7</v>
      </c>
    </row>
    <row r="197" spans="1:6" ht="31.5">
      <c r="A197" s="108">
        <v>3230300000</v>
      </c>
      <c r="B197" s="108"/>
      <c r="C197" s="107" t="s">
        <v>190</v>
      </c>
      <c r="D197" s="99">
        <f>D198+D205</f>
        <v>2623.5</v>
      </c>
      <c r="E197" s="99">
        <f t="shared" ref="E197:F197" si="76">E198+E205</f>
        <v>2623.4</v>
      </c>
      <c r="F197" s="99">
        <f t="shared" si="76"/>
        <v>1947.8000000000002</v>
      </c>
    </row>
    <row r="198" spans="1:6" ht="31.5">
      <c r="A198" s="108">
        <v>3230320300</v>
      </c>
      <c r="B198" s="108"/>
      <c r="C198" s="107" t="s">
        <v>191</v>
      </c>
      <c r="D198" s="99">
        <f>D199+D201+D203</f>
        <v>1198.7</v>
      </c>
      <c r="E198" s="99">
        <f t="shared" ref="E198:F198" si="77">E199+E201+E203</f>
        <v>1048.7</v>
      </c>
      <c r="F198" s="99">
        <f t="shared" si="77"/>
        <v>1048.7</v>
      </c>
    </row>
    <row r="199" spans="1:6" ht="63">
      <c r="A199" s="108">
        <v>3230320300</v>
      </c>
      <c r="B199" s="108" t="s">
        <v>68</v>
      </c>
      <c r="C199" s="107" t="s">
        <v>1</v>
      </c>
      <c r="D199" s="99">
        <f>D200</f>
        <v>379.2</v>
      </c>
      <c r="E199" s="99">
        <f t="shared" ref="E199:F199" si="78">E200</f>
        <v>379.2</v>
      </c>
      <c r="F199" s="99">
        <f t="shared" si="78"/>
        <v>379.2</v>
      </c>
    </row>
    <row r="200" spans="1:6" ht="31.5">
      <c r="A200" s="108">
        <v>3230320300</v>
      </c>
      <c r="B200" s="108">
        <v>120</v>
      </c>
      <c r="C200" s="107" t="s">
        <v>217</v>
      </c>
      <c r="D200" s="99">
        <f>' № 5  рп, кцср, квр'!E816</f>
        <v>379.2</v>
      </c>
      <c r="E200" s="99">
        <f>' № 5  рп, кцср, квр'!F816</f>
        <v>379.2</v>
      </c>
      <c r="F200" s="99">
        <f>' № 5  рп, кцср, квр'!G816</f>
        <v>379.2</v>
      </c>
    </row>
    <row r="201" spans="1:6" ht="31.5">
      <c r="A201" s="108">
        <v>3230320300</v>
      </c>
      <c r="B201" s="108" t="s">
        <v>69</v>
      </c>
      <c r="C201" s="107" t="s">
        <v>95</v>
      </c>
      <c r="D201" s="99">
        <f>D202</f>
        <v>640.1</v>
      </c>
      <c r="E201" s="99">
        <f t="shared" ref="E201:F201" si="79">E202</f>
        <v>490.1</v>
      </c>
      <c r="F201" s="99">
        <f t="shared" si="79"/>
        <v>490.1</v>
      </c>
    </row>
    <row r="202" spans="1:6" ht="31.5">
      <c r="A202" s="108">
        <v>3230320300</v>
      </c>
      <c r="B202" s="108">
        <v>240</v>
      </c>
      <c r="C202" s="107" t="s">
        <v>216</v>
      </c>
      <c r="D202" s="99">
        <f>' № 5  рп, кцср, квр'!E818</f>
        <v>640.1</v>
      </c>
      <c r="E202" s="99">
        <f>' № 5  рп, кцср, квр'!F818</f>
        <v>490.1</v>
      </c>
      <c r="F202" s="99">
        <f>' № 5  рп, кцср, квр'!G818</f>
        <v>490.1</v>
      </c>
    </row>
    <row r="203" spans="1:6">
      <c r="A203" s="108">
        <v>3230320300</v>
      </c>
      <c r="B203" s="108" t="s">
        <v>70</v>
      </c>
      <c r="C203" s="107" t="s">
        <v>71</v>
      </c>
      <c r="D203" s="99">
        <f>D204</f>
        <v>179.4</v>
      </c>
      <c r="E203" s="99">
        <f t="shared" ref="E203:F203" si="80">E204</f>
        <v>179.4</v>
      </c>
      <c r="F203" s="99">
        <f t="shared" si="80"/>
        <v>179.4</v>
      </c>
    </row>
    <row r="204" spans="1:6">
      <c r="A204" s="108">
        <v>3230320300</v>
      </c>
      <c r="B204" s="108">
        <v>850</v>
      </c>
      <c r="C204" s="107" t="s">
        <v>100</v>
      </c>
      <c r="D204" s="99">
        <f>' № 5  рп, кцср, квр'!E820</f>
        <v>179.4</v>
      </c>
      <c r="E204" s="99">
        <f>' № 5  рп, кцср, квр'!F820</f>
        <v>179.4</v>
      </c>
      <c r="F204" s="99">
        <f>' № 5  рп, кцср, квр'!G820</f>
        <v>179.4</v>
      </c>
    </row>
    <row r="205" spans="1:6">
      <c r="A205" s="108">
        <v>3230320320</v>
      </c>
      <c r="B205" s="108"/>
      <c r="C205" s="107" t="s">
        <v>139</v>
      </c>
      <c r="D205" s="99">
        <f>D206+D208</f>
        <v>1424.8000000000002</v>
      </c>
      <c r="E205" s="99">
        <f t="shared" ref="E205:F205" si="81">E206+E208</f>
        <v>1574.7</v>
      </c>
      <c r="F205" s="99">
        <f t="shared" si="81"/>
        <v>899.1</v>
      </c>
    </row>
    <row r="206" spans="1:6" ht="31.5">
      <c r="A206" s="108">
        <v>3230320320</v>
      </c>
      <c r="B206" s="108" t="s">
        <v>69</v>
      </c>
      <c r="C206" s="107" t="s">
        <v>95</v>
      </c>
      <c r="D206" s="99">
        <f>D207</f>
        <v>749.1</v>
      </c>
      <c r="E206" s="99">
        <f t="shared" ref="E206:F206" si="82">E207</f>
        <v>899</v>
      </c>
      <c r="F206" s="99">
        <f t="shared" si="82"/>
        <v>899.1</v>
      </c>
    </row>
    <row r="207" spans="1:6" ht="31.5">
      <c r="A207" s="108">
        <v>3230320320</v>
      </c>
      <c r="B207" s="108">
        <v>240</v>
      </c>
      <c r="C207" s="107" t="s">
        <v>216</v>
      </c>
      <c r="D207" s="99">
        <f>' № 5  рп, кцср, квр'!E823</f>
        <v>749.1</v>
      </c>
      <c r="E207" s="99">
        <f>' № 5  рп, кцср, квр'!F823</f>
        <v>899</v>
      </c>
      <c r="F207" s="99">
        <f>' № 5  рп, кцср, квр'!G823</f>
        <v>899.1</v>
      </c>
    </row>
    <row r="208" spans="1:6" ht="31.5">
      <c r="A208" s="108">
        <v>3230320320</v>
      </c>
      <c r="B208" s="108" t="s">
        <v>97</v>
      </c>
      <c r="C208" s="107" t="s">
        <v>98</v>
      </c>
      <c r="D208" s="99">
        <f>D209</f>
        <v>675.7</v>
      </c>
      <c r="E208" s="99">
        <f t="shared" ref="E208:F208" si="83">E209</f>
        <v>675.7</v>
      </c>
      <c r="F208" s="99">
        <f t="shared" si="83"/>
        <v>0</v>
      </c>
    </row>
    <row r="209" spans="1:6">
      <c r="A209" s="108">
        <v>3230320320</v>
      </c>
      <c r="B209" s="108">
        <v>610</v>
      </c>
      <c r="C209" s="107" t="s">
        <v>104</v>
      </c>
      <c r="D209" s="99">
        <f>' № 5  рп, кцср, квр'!E825</f>
        <v>675.7</v>
      </c>
      <c r="E209" s="99">
        <f>' № 5  рп, кцср, квр'!F825</f>
        <v>675.7</v>
      </c>
      <c r="F209" s="99">
        <f>' № 5  рп, кцср, квр'!G825</f>
        <v>0</v>
      </c>
    </row>
    <row r="210" spans="1:6">
      <c r="A210" s="108">
        <v>3230500000</v>
      </c>
      <c r="B210" s="108"/>
      <c r="C210" s="107" t="s">
        <v>314</v>
      </c>
      <c r="D210" s="99">
        <f>D211</f>
        <v>904.2</v>
      </c>
      <c r="E210" s="99">
        <f t="shared" ref="E210:F212" si="84">E211</f>
        <v>0</v>
      </c>
      <c r="F210" s="99">
        <f t="shared" si="84"/>
        <v>0</v>
      </c>
    </row>
    <row r="211" spans="1:6" ht="31.5">
      <c r="A211" s="108">
        <v>3230520300</v>
      </c>
      <c r="B211" s="108"/>
      <c r="C211" s="107" t="s">
        <v>303</v>
      </c>
      <c r="D211" s="99">
        <f>D212</f>
        <v>904.2</v>
      </c>
      <c r="E211" s="99">
        <f t="shared" si="84"/>
        <v>0</v>
      </c>
      <c r="F211" s="99">
        <f t="shared" si="84"/>
        <v>0</v>
      </c>
    </row>
    <row r="212" spans="1:6" ht="31.5">
      <c r="A212" s="108">
        <v>3230520300</v>
      </c>
      <c r="B212" s="108" t="s">
        <v>69</v>
      </c>
      <c r="C212" s="107" t="s">
        <v>95</v>
      </c>
      <c r="D212" s="99">
        <f>D213</f>
        <v>904.2</v>
      </c>
      <c r="E212" s="99">
        <f t="shared" si="84"/>
        <v>0</v>
      </c>
      <c r="F212" s="99">
        <f t="shared" si="84"/>
        <v>0</v>
      </c>
    </row>
    <row r="213" spans="1:6" ht="31.5">
      <c r="A213" s="108">
        <v>3230520300</v>
      </c>
      <c r="B213" s="108">
        <v>240</v>
      </c>
      <c r="C213" s="107" t="s">
        <v>216</v>
      </c>
      <c r="D213" s="99">
        <f>' № 5  рп, кцср, квр'!E829</f>
        <v>904.2</v>
      </c>
      <c r="E213" s="99">
        <f>' № 5  рп, кцср, квр'!F829</f>
        <v>0</v>
      </c>
      <c r="F213" s="99">
        <f>' № 5  рп, кцср, квр'!G829</f>
        <v>0</v>
      </c>
    </row>
    <row r="214" spans="1:6" ht="31.5">
      <c r="A214" s="108">
        <v>3240000000</v>
      </c>
      <c r="B214" s="108"/>
      <c r="C214" s="107" t="s">
        <v>231</v>
      </c>
      <c r="D214" s="99">
        <f>D215+D225</f>
        <v>27528.900000000005</v>
      </c>
      <c r="E214" s="99">
        <f t="shared" ref="E214:F214" si="85">E215+E225</f>
        <v>27202.400000000001</v>
      </c>
      <c r="F214" s="99">
        <f t="shared" si="85"/>
        <v>27499.4</v>
      </c>
    </row>
    <row r="215" spans="1:6" ht="31.5">
      <c r="A215" s="108">
        <v>3240100000</v>
      </c>
      <c r="B215" s="108"/>
      <c r="C215" s="107" t="s">
        <v>232</v>
      </c>
      <c r="D215" s="99">
        <f>D216+D219+D222</f>
        <v>27083.900000000005</v>
      </c>
      <c r="E215" s="99">
        <f t="shared" ref="E215:F215" si="86">E216+E219+E222</f>
        <v>27202.400000000001</v>
      </c>
      <c r="F215" s="99">
        <f t="shared" si="86"/>
        <v>27499.4</v>
      </c>
    </row>
    <row r="216" spans="1:6" ht="31.5">
      <c r="A216" s="108">
        <v>3240120010</v>
      </c>
      <c r="B216" s="108"/>
      <c r="C216" s="107" t="s">
        <v>123</v>
      </c>
      <c r="D216" s="99">
        <f>D217</f>
        <v>21813.300000000003</v>
      </c>
      <c r="E216" s="99">
        <f t="shared" ref="E216:F217" si="87">E217</f>
        <v>22096.5</v>
      </c>
      <c r="F216" s="99">
        <f t="shared" si="87"/>
        <v>22393.5</v>
      </c>
    </row>
    <row r="217" spans="1:6" ht="31.5">
      <c r="A217" s="108">
        <v>3240120010</v>
      </c>
      <c r="B217" s="108" t="s">
        <v>97</v>
      </c>
      <c r="C217" s="107" t="s">
        <v>98</v>
      </c>
      <c r="D217" s="99">
        <f>D218</f>
        <v>21813.300000000003</v>
      </c>
      <c r="E217" s="99">
        <f t="shared" si="87"/>
        <v>22096.5</v>
      </c>
      <c r="F217" s="99">
        <f t="shared" si="87"/>
        <v>22393.5</v>
      </c>
    </row>
    <row r="218" spans="1:6">
      <c r="A218" s="108">
        <v>3240120010</v>
      </c>
      <c r="B218" s="108">
        <v>610</v>
      </c>
      <c r="C218" s="107" t="s">
        <v>104</v>
      </c>
      <c r="D218" s="99">
        <f>' № 5  рп, кцср, квр'!E801+' № 5  рп, кцср, квр'!E856</f>
        <v>21813.300000000003</v>
      </c>
      <c r="E218" s="99">
        <f>' № 5  рп, кцср, квр'!F801+' № 5  рп, кцср, квр'!F856</f>
        <v>22096.5</v>
      </c>
      <c r="F218" s="99">
        <f>' № 5  рп, кцср, квр'!G801+' № 5  рп, кцср, квр'!G856</f>
        <v>22393.5</v>
      </c>
    </row>
    <row r="219" spans="1:6" ht="31.5">
      <c r="A219" s="108" t="s">
        <v>354</v>
      </c>
      <c r="B219" s="102"/>
      <c r="C219" s="63" t="s">
        <v>377</v>
      </c>
      <c r="D219" s="99">
        <f>D220</f>
        <v>5105.9000000000005</v>
      </c>
      <c r="E219" s="99">
        <f t="shared" ref="E219:F220" si="88">E220</f>
        <v>5105.9000000000005</v>
      </c>
      <c r="F219" s="99">
        <f t="shared" si="88"/>
        <v>5105.9000000000005</v>
      </c>
    </row>
    <row r="220" spans="1:6" ht="31.5">
      <c r="A220" s="108" t="s">
        <v>354</v>
      </c>
      <c r="B220" s="108" t="s">
        <v>97</v>
      </c>
      <c r="C220" s="107" t="s">
        <v>98</v>
      </c>
      <c r="D220" s="99">
        <f>D221</f>
        <v>5105.9000000000005</v>
      </c>
      <c r="E220" s="99">
        <f t="shared" si="88"/>
        <v>5105.9000000000005</v>
      </c>
      <c r="F220" s="99">
        <f t="shared" si="88"/>
        <v>5105.9000000000005</v>
      </c>
    </row>
    <row r="221" spans="1:6">
      <c r="A221" s="108" t="s">
        <v>354</v>
      </c>
      <c r="B221" s="108">
        <v>610</v>
      </c>
      <c r="C221" s="107" t="s">
        <v>104</v>
      </c>
      <c r="D221" s="99">
        <f>' № 5  рп, кцср, квр'!E859</f>
        <v>5105.9000000000005</v>
      </c>
      <c r="E221" s="99">
        <f>' № 5  рп, кцср, квр'!F859</f>
        <v>5105.9000000000005</v>
      </c>
      <c r="F221" s="99">
        <f>' № 5  рп, кцср, квр'!G859</f>
        <v>5105.9000000000005</v>
      </c>
    </row>
    <row r="222" spans="1:6" ht="31.5">
      <c r="A222" s="108" t="s">
        <v>802</v>
      </c>
      <c r="B222" s="108"/>
      <c r="C222" s="33" t="s">
        <v>801</v>
      </c>
      <c r="D222" s="99">
        <f>D223</f>
        <v>164.7</v>
      </c>
      <c r="E222" s="99">
        <f t="shared" ref="E222:F223" si="89">E223</f>
        <v>0</v>
      </c>
      <c r="F222" s="99">
        <f t="shared" si="89"/>
        <v>0</v>
      </c>
    </row>
    <row r="223" spans="1:6" ht="31.5">
      <c r="A223" s="108" t="s">
        <v>802</v>
      </c>
      <c r="B223" s="108" t="s">
        <v>97</v>
      </c>
      <c r="C223" s="107" t="s">
        <v>98</v>
      </c>
      <c r="D223" s="99">
        <f>D224</f>
        <v>164.7</v>
      </c>
      <c r="E223" s="99">
        <f t="shared" si="89"/>
        <v>0</v>
      </c>
      <c r="F223" s="99">
        <f t="shared" si="89"/>
        <v>0</v>
      </c>
    </row>
    <row r="224" spans="1:6">
      <c r="A224" s="108" t="s">
        <v>802</v>
      </c>
      <c r="B224" s="108">
        <v>610</v>
      </c>
      <c r="C224" s="107" t="s">
        <v>104</v>
      </c>
      <c r="D224" s="99">
        <f>' № 5  рп, кцср, квр'!E862</f>
        <v>164.7</v>
      </c>
      <c r="E224" s="99">
        <f>' № 5  рп, кцср, квр'!F862</f>
        <v>0</v>
      </c>
      <c r="F224" s="99">
        <f>' № 5  рп, кцср, квр'!G862</f>
        <v>0</v>
      </c>
    </row>
    <row r="225" spans="1:6" ht="47.25">
      <c r="A225" s="108">
        <v>3240200000</v>
      </c>
      <c r="B225" s="108"/>
      <c r="C225" s="107" t="s">
        <v>433</v>
      </c>
      <c r="D225" s="99">
        <f>D226</f>
        <v>445</v>
      </c>
      <c r="E225" s="99">
        <f t="shared" ref="E225:F227" si="90">E226</f>
        <v>0</v>
      </c>
      <c r="F225" s="99">
        <f t="shared" si="90"/>
        <v>0</v>
      </c>
    </row>
    <row r="226" spans="1:6" ht="63">
      <c r="A226" s="8" t="s">
        <v>434</v>
      </c>
      <c r="B226" s="50"/>
      <c r="C226" s="5" t="s">
        <v>435</v>
      </c>
      <c r="D226" s="99">
        <f>D227</f>
        <v>445</v>
      </c>
      <c r="E226" s="99">
        <f t="shared" si="90"/>
        <v>0</v>
      </c>
      <c r="F226" s="99">
        <f t="shared" si="90"/>
        <v>0</v>
      </c>
    </row>
    <row r="227" spans="1:6" ht="31.5">
      <c r="A227" s="8" t="s">
        <v>434</v>
      </c>
      <c r="B227" s="50" t="s">
        <v>97</v>
      </c>
      <c r="C227" s="107" t="s">
        <v>98</v>
      </c>
      <c r="D227" s="99">
        <f>D228</f>
        <v>445</v>
      </c>
      <c r="E227" s="99">
        <f t="shared" si="90"/>
        <v>0</v>
      </c>
      <c r="F227" s="99">
        <f t="shared" si="90"/>
        <v>0</v>
      </c>
    </row>
    <row r="228" spans="1:6">
      <c r="A228" s="8" t="s">
        <v>434</v>
      </c>
      <c r="B228" s="50">
        <v>610</v>
      </c>
      <c r="C228" s="107" t="s">
        <v>104</v>
      </c>
      <c r="D228" s="99">
        <f>' № 5  рп, кцср, квр'!E866</f>
        <v>445</v>
      </c>
      <c r="E228" s="99">
        <f>' № 5  рп, кцср, квр'!F866</f>
        <v>0</v>
      </c>
      <c r="F228" s="99">
        <f>' № 5  рп, кцср, квр'!G866</f>
        <v>0</v>
      </c>
    </row>
    <row r="229" spans="1:6" ht="31.5">
      <c r="A229" s="108">
        <v>3250000000</v>
      </c>
      <c r="B229" s="108"/>
      <c r="C229" s="107" t="s">
        <v>132</v>
      </c>
      <c r="D229" s="99">
        <f>D230+D234+D248+D255+D261+D269</f>
        <v>6487.1999999999989</v>
      </c>
      <c r="E229" s="99">
        <f t="shared" ref="E229:F229" si="91">E230+E234+E248+E255+E261+E269</f>
        <v>3748</v>
      </c>
      <c r="F229" s="99">
        <f t="shared" si="91"/>
        <v>3748</v>
      </c>
    </row>
    <row r="230" spans="1:6" ht="31.5">
      <c r="A230" s="108">
        <v>3250100000</v>
      </c>
      <c r="B230" s="108"/>
      <c r="C230" s="107" t="s">
        <v>183</v>
      </c>
      <c r="D230" s="99">
        <f>D231</f>
        <v>500</v>
      </c>
      <c r="E230" s="99">
        <f t="shared" ref="E230:F232" si="92">E231</f>
        <v>0</v>
      </c>
      <c r="F230" s="99">
        <f t="shared" si="92"/>
        <v>0</v>
      </c>
    </row>
    <row r="231" spans="1:6" ht="31.5">
      <c r="A231" s="108">
        <v>3250120330</v>
      </c>
      <c r="B231" s="108"/>
      <c r="C231" s="107" t="s">
        <v>142</v>
      </c>
      <c r="D231" s="99">
        <f>D232</f>
        <v>500</v>
      </c>
      <c r="E231" s="99">
        <f t="shared" si="92"/>
        <v>0</v>
      </c>
      <c r="F231" s="99">
        <f t="shared" si="92"/>
        <v>0</v>
      </c>
    </row>
    <row r="232" spans="1:6" ht="31.5">
      <c r="A232" s="108">
        <v>3250120330</v>
      </c>
      <c r="B232" s="108" t="s">
        <v>97</v>
      </c>
      <c r="C232" s="107" t="s">
        <v>98</v>
      </c>
      <c r="D232" s="99">
        <f>D233</f>
        <v>500</v>
      </c>
      <c r="E232" s="99">
        <f t="shared" si="92"/>
        <v>0</v>
      </c>
      <c r="F232" s="99">
        <f t="shared" si="92"/>
        <v>0</v>
      </c>
    </row>
    <row r="233" spans="1:6" ht="31.5">
      <c r="A233" s="108">
        <v>3250120330</v>
      </c>
      <c r="B233" s="108">
        <v>630</v>
      </c>
      <c r="C233" s="107" t="s">
        <v>143</v>
      </c>
      <c r="D233" s="99">
        <f>' № 5  рп, кцср, квр'!E766</f>
        <v>500</v>
      </c>
      <c r="E233" s="99">
        <f>' № 5  рп, кцср, квр'!F766</f>
        <v>0</v>
      </c>
      <c r="F233" s="99">
        <f>' № 5  рп, кцср, квр'!G766</f>
        <v>0</v>
      </c>
    </row>
    <row r="234" spans="1:6" ht="31.5">
      <c r="A234" s="108">
        <v>3250200000</v>
      </c>
      <c r="B234" s="108"/>
      <c r="C234" s="107" t="s">
        <v>144</v>
      </c>
      <c r="D234" s="99">
        <f>D235+D245+D240</f>
        <v>310.60000000000002</v>
      </c>
      <c r="E234" s="99">
        <f t="shared" ref="E234:F234" si="93">E235+E245+E240</f>
        <v>126.69999999999999</v>
      </c>
      <c r="F234" s="99">
        <f t="shared" si="93"/>
        <v>126.69999999999999</v>
      </c>
    </row>
    <row r="235" spans="1:6">
      <c r="A235" s="108">
        <v>3250220340</v>
      </c>
      <c r="B235" s="108"/>
      <c r="C235" s="107" t="s">
        <v>148</v>
      </c>
      <c r="D235" s="99">
        <f>D236+D238</f>
        <v>183.9</v>
      </c>
      <c r="E235" s="99">
        <f t="shared" ref="E235:F235" si="94">E236+E238</f>
        <v>0</v>
      </c>
      <c r="F235" s="99">
        <f t="shared" si="94"/>
        <v>0</v>
      </c>
    </row>
    <row r="236" spans="1:6" ht="31.5">
      <c r="A236" s="108">
        <v>3250220340</v>
      </c>
      <c r="B236" s="108" t="s">
        <v>69</v>
      </c>
      <c r="C236" s="107" t="s">
        <v>95</v>
      </c>
      <c r="D236" s="99">
        <f>D237</f>
        <v>113.4</v>
      </c>
      <c r="E236" s="99">
        <f t="shared" ref="E236:F236" si="95">E237</f>
        <v>0</v>
      </c>
      <c r="F236" s="99">
        <f t="shared" si="95"/>
        <v>0</v>
      </c>
    </row>
    <row r="237" spans="1:6" ht="31.5">
      <c r="A237" s="108">
        <v>3250220340</v>
      </c>
      <c r="B237" s="108">
        <v>240</v>
      </c>
      <c r="C237" s="107" t="s">
        <v>216</v>
      </c>
      <c r="D237" s="99">
        <f>' № 5  рп, кцср, квр'!E105</f>
        <v>113.4</v>
      </c>
      <c r="E237" s="99">
        <f>' № 5  рп, кцср, квр'!F105</f>
        <v>0</v>
      </c>
      <c r="F237" s="99">
        <f>' № 5  рп, кцср, квр'!G105</f>
        <v>0</v>
      </c>
    </row>
    <row r="238" spans="1:6">
      <c r="A238" s="108">
        <v>3250220340</v>
      </c>
      <c r="B238" s="108" t="s">
        <v>73</v>
      </c>
      <c r="C238" s="107" t="s">
        <v>74</v>
      </c>
      <c r="D238" s="99">
        <f>D239</f>
        <v>70.5</v>
      </c>
      <c r="E238" s="99">
        <f t="shared" ref="E238:F238" si="96">E239</f>
        <v>0</v>
      </c>
      <c r="F238" s="99">
        <f t="shared" si="96"/>
        <v>0</v>
      </c>
    </row>
    <row r="239" spans="1:6">
      <c r="A239" s="108">
        <v>3250220340</v>
      </c>
      <c r="B239" s="108">
        <v>350</v>
      </c>
      <c r="C239" s="26" t="s">
        <v>149</v>
      </c>
      <c r="D239" s="99">
        <f>' № 5  рп, кцср, квр'!E107</f>
        <v>70.5</v>
      </c>
      <c r="E239" s="99">
        <f>' № 5  рп, кцср, квр'!F107</f>
        <v>0</v>
      </c>
      <c r="F239" s="99">
        <f>' № 5  рп, кцср, квр'!G107</f>
        <v>0</v>
      </c>
    </row>
    <row r="240" spans="1:6" ht="31.5">
      <c r="A240" s="108">
        <v>3250220350</v>
      </c>
      <c r="B240" s="108"/>
      <c r="C240" s="107" t="s">
        <v>184</v>
      </c>
      <c r="D240" s="99">
        <f>D241+D243</f>
        <v>120.1</v>
      </c>
      <c r="E240" s="99">
        <f t="shared" ref="E240:F240" si="97">E241+E243</f>
        <v>120.1</v>
      </c>
      <c r="F240" s="99">
        <f t="shared" si="97"/>
        <v>120.1</v>
      </c>
    </row>
    <row r="241" spans="1:6" ht="31.5">
      <c r="A241" s="108">
        <v>3250220350</v>
      </c>
      <c r="B241" s="108" t="s">
        <v>69</v>
      </c>
      <c r="C241" s="107" t="s">
        <v>95</v>
      </c>
      <c r="D241" s="99">
        <f>D242</f>
        <v>4.0999999999999996</v>
      </c>
      <c r="E241" s="99">
        <f t="shared" ref="E241:F241" si="98">E242</f>
        <v>4.0999999999999996</v>
      </c>
      <c r="F241" s="99">
        <f t="shared" si="98"/>
        <v>4.0999999999999996</v>
      </c>
    </row>
    <row r="242" spans="1:6" ht="31.5">
      <c r="A242" s="108">
        <v>3250220350</v>
      </c>
      <c r="B242" s="108">
        <v>240</v>
      </c>
      <c r="C242" s="107" t="s">
        <v>216</v>
      </c>
      <c r="D242" s="99">
        <f>' № 5  рп, кцср, квр'!E770</f>
        <v>4.0999999999999996</v>
      </c>
      <c r="E242" s="99">
        <f>' № 5  рп, кцср, квр'!F770</f>
        <v>4.0999999999999996</v>
      </c>
      <c r="F242" s="99">
        <f>' № 5  рп, кцср, квр'!G770</f>
        <v>4.0999999999999996</v>
      </c>
    </row>
    <row r="243" spans="1:6">
      <c r="A243" s="108">
        <v>3250220350</v>
      </c>
      <c r="B243" s="108" t="s">
        <v>73</v>
      </c>
      <c r="C243" s="107" t="s">
        <v>74</v>
      </c>
      <c r="D243" s="99">
        <f>D244</f>
        <v>116</v>
      </c>
      <c r="E243" s="99">
        <f t="shared" ref="E243:F243" si="99">E244</f>
        <v>116</v>
      </c>
      <c r="F243" s="99">
        <f t="shared" si="99"/>
        <v>116</v>
      </c>
    </row>
    <row r="244" spans="1:6">
      <c r="A244" s="108">
        <v>3250220350</v>
      </c>
      <c r="B244" s="108" t="s">
        <v>140</v>
      </c>
      <c r="C244" s="107" t="s">
        <v>141</v>
      </c>
      <c r="D244" s="99">
        <f>' № 5  рп, кцср, квр'!E772</f>
        <v>116</v>
      </c>
      <c r="E244" s="99">
        <f>' № 5  рп, кцср, квр'!F772</f>
        <v>116</v>
      </c>
      <c r="F244" s="99">
        <f>' № 5  рп, кцср, квр'!G772</f>
        <v>116</v>
      </c>
    </row>
    <row r="245" spans="1:6" ht="31.5">
      <c r="A245" s="108">
        <v>3250220360</v>
      </c>
      <c r="B245" s="108"/>
      <c r="C245" s="26" t="s">
        <v>220</v>
      </c>
      <c r="D245" s="99">
        <f>D246</f>
        <v>6.6</v>
      </c>
      <c r="E245" s="99">
        <f t="shared" ref="E245:F246" si="100">E246</f>
        <v>6.6</v>
      </c>
      <c r="F245" s="99">
        <f t="shared" si="100"/>
        <v>6.6</v>
      </c>
    </row>
    <row r="246" spans="1:6">
      <c r="A246" s="108">
        <v>3250220360</v>
      </c>
      <c r="B246" s="108" t="s">
        <v>73</v>
      </c>
      <c r="C246" s="107" t="s">
        <v>74</v>
      </c>
      <c r="D246" s="99">
        <f>D247</f>
        <v>6.6</v>
      </c>
      <c r="E246" s="99">
        <f t="shared" si="100"/>
        <v>6.6</v>
      </c>
      <c r="F246" s="99">
        <f t="shared" si="100"/>
        <v>6.6</v>
      </c>
    </row>
    <row r="247" spans="1:6">
      <c r="A247" s="108">
        <v>3250220360</v>
      </c>
      <c r="B247" s="108">
        <v>350</v>
      </c>
      <c r="C247" s="26" t="s">
        <v>149</v>
      </c>
      <c r="D247" s="99">
        <f>' № 5  рп, кцср, квр'!E110</f>
        <v>6.6</v>
      </c>
      <c r="E247" s="99">
        <f>' № 5  рп, кцср, квр'!F110</f>
        <v>6.6</v>
      </c>
      <c r="F247" s="99">
        <f>' № 5  рп, кцср, квр'!G110</f>
        <v>6.6</v>
      </c>
    </row>
    <row r="248" spans="1:6">
      <c r="A248" s="108">
        <v>3250300000</v>
      </c>
      <c r="B248" s="108"/>
      <c r="C248" s="107" t="s">
        <v>185</v>
      </c>
      <c r="D248" s="99">
        <f>D249+D252</f>
        <v>3524.9</v>
      </c>
      <c r="E248" s="99">
        <f t="shared" ref="E248:F248" si="101">E249+E252</f>
        <v>1569.6</v>
      </c>
      <c r="F248" s="99">
        <f t="shared" si="101"/>
        <v>1569.6</v>
      </c>
    </row>
    <row r="249" spans="1:6" ht="47.25">
      <c r="A249" s="108">
        <v>3250320400</v>
      </c>
      <c r="B249" s="108"/>
      <c r="C249" s="107" t="s">
        <v>227</v>
      </c>
      <c r="D249" s="99">
        <f>D250</f>
        <v>506</v>
      </c>
      <c r="E249" s="99">
        <f t="shared" ref="E249:F250" si="102">E250</f>
        <v>0</v>
      </c>
      <c r="F249" s="99">
        <f t="shared" si="102"/>
        <v>0</v>
      </c>
    </row>
    <row r="250" spans="1:6" ht="31.5">
      <c r="A250" s="108">
        <v>3250320400</v>
      </c>
      <c r="B250" s="108" t="s">
        <v>69</v>
      </c>
      <c r="C250" s="107" t="s">
        <v>95</v>
      </c>
      <c r="D250" s="99">
        <f>D251</f>
        <v>506</v>
      </c>
      <c r="E250" s="99">
        <f t="shared" si="102"/>
        <v>0</v>
      </c>
      <c r="F250" s="99">
        <f t="shared" si="102"/>
        <v>0</v>
      </c>
    </row>
    <row r="251" spans="1:6" ht="31.5">
      <c r="A251" s="108">
        <v>3250320400</v>
      </c>
      <c r="B251" s="108">
        <v>240</v>
      </c>
      <c r="C251" s="107" t="s">
        <v>216</v>
      </c>
      <c r="D251" s="99">
        <f>' № 5  рп, кцср, квр'!E891</f>
        <v>506</v>
      </c>
      <c r="E251" s="99">
        <f>' № 5  рп, кцср, квр'!F891</f>
        <v>0</v>
      </c>
      <c r="F251" s="99">
        <f>' № 5  рп, кцср, квр'!G891</f>
        <v>0</v>
      </c>
    </row>
    <row r="252" spans="1:6" ht="31.5">
      <c r="A252" s="108" t="s">
        <v>355</v>
      </c>
      <c r="B252" s="108"/>
      <c r="C252" s="107" t="s">
        <v>376</v>
      </c>
      <c r="D252" s="99">
        <f>D253</f>
        <v>3018.9</v>
      </c>
      <c r="E252" s="99">
        <f t="shared" ref="E252:F253" si="103">E253</f>
        <v>1569.6</v>
      </c>
      <c r="F252" s="99">
        <f t="shared" si="103"/>
        <v>1569.6</v>
      </c>
    </row>
    <row r="253" spans="1:6" ht="31.5">
      <c r="A253" s="108" t="s">
        <v>355</v>
      </c>
      <c r="B253" s="108" t="s">
        <v>97</v>
      </c>
      <c r="C253" s="107" t="s">
        <v>98</v>
      </c>
      <c r="D253" s="99">
        <f>D254</f>
        <v>3018.9</v>
      </c>
      <c r="E253" s="99">
        <f t="shared" si="103"/>
        <v>1569.6</v>
      </c>
      <c r="F253" s="99">
        <f t="shared" si="103"/>
        <v>1569.6</v>
      </c>
    </row>
    <row r="254" spans="1:6" ht="31.5">
      <c r="A254" s="108" t="s">
        <v>355</v>
      </c>
      <c r="B254" s="108">
        <v>630</v>
      </c>
      <c r="C254" s="107" t="s">
        <v>143</v>
      </c>
      <c r="D254" s="99">
        <f>' № 5  рп, кцср, квр'!E894</f>
        <v>3018.9</v>
      </c>
      <c r="E254" s="99">
        <f>' № 5  рп, кцср, квр'!F894</f>
        <v>1569.6</v>
      </c>
      <c r="F254" s="99">
        <f>' № 5  рп, кцср, квр'!G894</f>
        <v>1569.6</v>
      </c>
    </row>
    <row r="255" spans="1:6">
      <c r="A255" s="108">
        <v>3250400000</v>
      </c>
      <c r="B255" s="108"/>
      <c r="C255" s="107" t="s">
        <v>182</v>
      </c>
      <c r="D255" s="99">
        <f>D256</f>
        <v>1119.6999999999998</v>
      </c>
      <c r="E255" s="99">
        <f t="shared" ref="E255:F255" si="104">E256</f>
        <v>1119.6999999999998</v>
      </c>
      <c r="F255" s="99">
        <f t="shared" si="104"/>
        <v>1119.6999999999998</v>
      </c>
    </row>
    <row r="256" spans="1:6" ht="47.25">
      <c r="A256" s="108">
        <v>3250420390</v>
      </c>
      <c r="B256" s="108"/>
      <c r="C256" s="107" t="s">
        <v>67</v>
      </c>
      <c r="D256" s="99">
        <f>D257+D259</f>
        <v>1119.6999999999998</v>
      </c>
      <c r="E256" s="99">
        <f t="shared" ref="E256:F256" si="105">E257+E259</f>
        <v>1119.6999999999998</v>
      </c>
      <c r="F256" s="99">
        <f t="shared" si="105"/>
        <v>1119.6999999999998</v>
      </c>
    </row>
    <row r="257" spans="1:6" ht="31.5">
      <c r="A257" s="108">
        <v>3250420390</v>
      </c>
      <c r="B257" s="108" t="s">
        <v>69</v>
      </c>
      <c r="C257" s="107" t="s">
        <v>95</v>
      </c>
      <c r="D257" s="99">
        <f>D258</f>
        <v>32.6</v>
      </c>
      <c r="E257" s="99">
        <f t="shared" ref="E257:F257" si="106">E258</f>
        <v>32.6</v>
      </c>
      <c r="F257" s="99">
        <f t="shared" si="106"/>
        <v>32.6</v>
      </c>
    </row>
    <row r="258" spans="1:6" ht="31.5">
      <c r="A258" s="108">
        <v>3250420390</v>
      </c>
      <c r="B258" s="108">
        <v>240</v>
      </c>
      <c r="C258" s="107" t="s">
        <v>216</v>
      </c>
      <c r="D258" s="99">
        <f>' № 5  рп, кцср, квр'!E757</f>
        <v>32.6</v>
      </c>
      <c r="E258" s="99">
        <f>' № 5  рп, кцср, квр'!F757</f>
        <v>32.6</v>
      </c>
      <c r="F258" s="99">
        <f>' № 5  рп, кцср, квр'!G757</f>
        <v>32.6</v>
      </c>
    </row>
    <row r="259" spans="1:6">
      <c r="A259" s="108">
        <v>3250420390</v>
      </c>
      <c r="B259" s="108" t="s">
        <v>73</v>
      </c>
      <c r="C259" s="107" t="s">
        <v>74</v>
      </c>
      <c r="D259" s="99">
        <f>D260</f>
        <v>1087.0999999999999</v>
      </c>
      <c r="E259" s="99">
        <f t="shared" ref="E259:F259" si="107">E260</f>
        <v>1087.0999999999999</v>
      </c>
      <c r="F259" s="99">
        <f t="shared" si="107"/>
        <v>1087.0999999999999</v>
      </c>
    </row>
    <row r="260" spans="1:6">
      <c r="A260" s="108">
        <v>3250420390</v>
      </c>
      <c r="B260" s="108" t="s">
        <v>140</v>
      </c>
      <c r="C260" s="107" t="s">
        <v>141</v>
      </c>
      <c r="D260" s="99">
        <f>' № 5  рп, кцср, квр'!E759</f>
        <v>1087.0999999999999</v>
      </c>
      <c r="E260" s="99">
        <f>' № 5  рп, кцср, квр'!F759</f>
        <v>1087.0999999999999</v>
      </c>
      <c r="F260" s="99">
        <f>' № 5  рп, кцср, квр'!G759</f>
        <v>1087.0999999999999</v>
      </c>
    </row>
    <row r="261" spans="1:6">
      <c r="A261" s="108">
        <v>3250500000</v>
      </c>
      <c r="B261" s="108"/>
      <c r="C261" s="107" t="s">
        <v>133</v>
      </c>
      <c r="D261" s="99">
        <f>D262+D266</f>
        <v>972.09999999999991</v>
      </c>
      <c r="E261" s="99">
        <f t="shared" ref="E261:F261" si="108">E262+E266</f>
        <v>872.09999999999991</v>
      </c>
      <c r="F261" s="99">
        <f t="shared" si="108"/>
        <v>872.09999999999991</v>
      </c>
    </row>
    <row r="262" spans="1:6" ht="31.5">
      <c r="A262" s="108">
        <v>3250520410</v>
      </c>
      <c r="B262" s="108"/>
      <c r="C262" s="107" t="s">
        <v>198</v>
      </c>
      <c r="D262" s="99">
        <f>D263</f>
        <v>244.7</v>
      </c>
      <c r="E262" s="99">
        <f t="shared" ref="E262:F262" si="109">E263</f>
        <v>244.7</v>
      </c>
      <c r="F262" s="99">
        <f t="shared" si="109"/>
        <v>244.7</v>
      </c>
    </row>
    <row r="263" spans="1:6">
      <c r="A263" s="108">
        <v>3250520410</v>
      </c>
      <c r="B263" s="108" t="s">
        <v>70</v>
      </c>
      <c r="C263" s="107" t="s">
        <v>71</v>
      </c>
      <c r="D263" s="99">
        <f>D265+D264</f>
        <v>244.7</v>
      </c>
      <c r="E263" s="99">
        <f t="shared" ref="E263:F263" si="110">E265+E264</f>
        <v>244.7</v>
      </c>
      <c r="F263" s="99">
        <f t="shared" si="110"/>
        <v>244.7</v>
      </c>
    </row>
    <row r="264" spans="1:6">
      <c r="A264" s="108">
        <v>3250520410</v>
      </c>
      <c r="B264" s="108">
        <v>850</v>
      </c>
      <c r="C264" s="107" t="s">
        <v>100</v>
      </c>
      <c r="D264" s="99">
        <f>' № 5  рп, кцср, квр'!E114</f>
        <v>156.1</v>
      </c>
      <c r="E264" s="99">
        <f>' № 5  рп, кцср, квр'!F114</f>
        <v>156.1</v>
      </c>
      <c r="F264" s="99">
        <f>' № 5  рп, кцср, квр'!G114</f>
        <v>156.1</v>
      </c>
    </row>
    <row r="265" spans="1:6" ht="31.5">
      <c r="A265" s="108">
        <v>3250520410</v>
      </c>
      <c r="B265" s="108">
        <v>860</v>
      </c>
      <c r="C265" s="107" t="s">
        <v>219</v>
      </c>
      <c r="D265" s="99">
        <f>' № 5  рп, кцср, квр'!E92</f>
        <v>88.6</v>
      </c>
      <c r="E265" s="99">
        <f>' № 5  рп, кцср, квр'!F92</f>
        <v>88.6</v>
      </c>
      <c r="F265" s="99">
        <f>' № 5  рп, кцср, квр'!G92</f>
        <v>88.6</v>
      </c>
    </row>
    <row r="266" spans="1:6" ht="31.5">
      <c r="A266" s="108">
        <v>3250520460</v>
      </c>
      <c r="B266" s="108"/>
      <c r="C266" s="107" t="s">
        <v>212</v>
      </c>
      <c r="D266" s="99">
        <f>D267</f>
        <v>727.4</v>
      </c>
      <c r="E266" s="99">
        <f t="shared" ref="E266:F267" si="111">E267</f>
        <v>627.4</v>
      </c>
      <c r="F266" s="99">
        <f t="shared" si="111"/>
        <v>627.4</v>
      </c>
    </row>
    <row r="267" spans="1:6" ht="31.5">
      <c r="A267" s="108">
        <v>3250520460</v>
      </c>
      <c r="B267" s="108" t="s">
        <v>69</v>
      </c>
      <c r="C267" s="107" t="s">
        <v>95</v>
      </c>
      <c r="D267" s="99">
        <f>D268</f>
        <v>727.4</v>
      </c>
      <c r="E267" s="99">
        <f t="shared" si="111"/>
        <v>627.4</v>
      </c>
      <c r="F267" s="99">
        <f t="shared" si="111"/>
        <v>627.4</v>
      </c>
    </row>
    <row r="268" spans="1:6" ht="31.5">
      <c r="A268" s="108">
        <v>3250520460</v>
      </c>
      <c r="B268" s="108">
        <v>240</v>
      </c>
      <c r="C268" s="107" t="s">
        <v>216</v>
      </c>
      <c r="D268" s="99">
        <f>' № 5  рп, кцср, квр'!E117</f>
        <v>727.4</v>
      </c>
      <c r="E268" s="99">
        <f>' № 5  рп, кцср, квр'!F117</f>
        <v>627.4</v>
      </c>
      <c r="F268" s="99">
        <f>' № 5  рп, кцср, квр'!G117</f>
        <v>627.4</v>
      </c>
    </row>
    <row r="269" spans="1:6" ht="31.5">
      <c r="A269" s="7" t="s">
        <v>346</v>
      </c>
      <c r="B269" s="7"/>
      <c r="C269" s="107" t="s">
        <v>136</v>
      </c>
      <c r="D269" s="99">
        <f>D270+D273</f>
        <v>59.9</v>
      </c>
      <c r="E269" s="99">
        <f t="shared" ref="E269:F269" si="112">E270+E273</f>
        <v>59.9</v>
      </c>
      <c r="F269" s="99">
        <f t="shared" si="112"/>
        <v>59.9</v>
      </c>
    </row>
    <row r="270" spans="1:6" ht="31.5">
      <c r="A270" s="7" t="s">
        <v>347</v>
      </c>
      <c r="B270" s="7"/>
      <c r="C270" s="107" t="s">
        <v>134</v>
      </c>
      <c r="D270" s="99">
        <f>D271</f>
        <v>23.9</v>
      </c>
      <c r="E270" s="99">
        <f t="shared" ref="E270:F271" si="113">E271</f>
        <v>23.9</v>
      </c>
      <c r="F270" s="99">
        <f t="shared" si="113"/>
        <v>23.9</v>
      </c>
    </row>
    <row r="271" spans="1:6" ht="31.5">
      <c r="A271" s="7" t="s">
        <v>347</v>
      </c>
      <c r="B271" s="108" t="s">
        <v>69</v>
      </c>
      <c r="C271" s="107" t="s">
        <v>95</v>
      </c>
      <c r="D271" s="99">
        <f>D272</f>
        <v>23.9</v>
      </c>
      <c r="E271" s="99">
        <f t="shared" si="113"/>
        <v>23.9</v>
      </c>
      <c r="F271" s="99">
        <f t="shared" si="113"/>
        <v>23.9</v>
      </c>
    </row>
    <row r="272" spans="1:6" ht="31.5">
      <c r="A272" s="7" t="s">
        <v>347</v>
      </c>
      <c r="B272" s="108">
        <v>240</v>
      </c>
      <c r="C272" s="107" t="s">
        <v>216</v>
      </c>
      <c r="D272" s="99">
        <f>' № 5  рп, кцср, квр'!E662</f>
        <v>23.9</v>
      </c>
      <c r="E272" s="99">
        <f>' № 5  рп, кцср, квр'!F662</f>
        <v>23.9</v>
      </c>
      <c r="F272" s="99">
        <f>' № 5  рп, кцср, квр'!G662</f>
        <v>23.9</v>
      </c>
    </row>
    <row r="273" spans="1:6">
      <c r="A273" s="7" t="s">
        <v>395</v>
      </c>
      <c r="B273" s="7"/>
      <c r="C273" s="107" t="s">
        <v>135</v>
      </c>
      <c r="D273" s="99">
        <f>D274</f>
        <v>36</v>
      </c>
      <c r="E273" s="99">
        <f t="shared" ref="E273:F274" si="114">E274</f>
        <v>36</v>
      </c>
      <c r="F273" s="99">
        <f t="shared" si="114"/>
        <v>36</v>
      </c>
    </row>
    <row r="274" spans="1:6">
      <c r="A274" s="7" t="s">
        <v>395</v>
      </c>
      <c r="B274" s="108" t="s">
        <v>73</v>
      </c>
      <c r="C274" s="107" t="s">
        <v>74</v>
      </c>
      <c r="D274" s="99">
        <f>D275</f>
        <v>36</v>
      </c>
      <c r="E274" s="99">
        <f t="shared" si="114"/>
        <v>36</v>
      </c>
      <c r="F274" s="99">
        <f t="shared" si="114"/>
        <v>36</v>
      </c>
    </row>
    <row r="275" spans="1:6" ht="31.5">
      <c r="A275" s="7" t="s">
        <v>395</v>
      </c>
      <c r="B275" s="7" t="s">
        <v>267</v>
      </c>
      <c r="C275" s="107" t="s">
        <v>268</v>
      </c>
      <c r="D275" s="99">
        <f>' № 5  рп, кцср, квр'!E665</f>
        <v>36</v>
      </c>
      <c r="E275" s="99">
        <f>' № 5  рп, кцср, квр'!F665</f>
        <v>36</v>
      </c>
      <c r="F275" s="99">
        <f>' № 5  рп, кцср, квр'!G665</f>
        <v>36</v>
      </c>
    </row>
    <row r="276" spans="1:6" ht="31.5">
      <c r="A276" s="108">
        <v>3260000000</v>
      </c>
      <c r="B276" s="108"/>
      <c r="C276" s="107" t="s">
        <v>351</v>
      </c>
      <c r="D276" s="99">
        <f>D277</f>
        <v>2969.1000000000004</v>
      </c>
      <c r="E276" s="99">
        <f t="shared" ref="E276:F279" si="115">E277</f>
        <v>692.8</v>
      </c>
      <c r="F276" s="99">
        <f t="shared" si="115"/>
        <v>0</v>
      </c>
    </row>
    <row r="277" spans="1:6">
      <c r="A277" s="108">
        <v>3260100000</v>
      </c>
      <c r="B277" s="108"/>
      <c r="C277" s="107" t="s">
        <v>352</v>
      </c>
      <c r="D277" s="99">
        <f>D278</f>
        <v>2969.1000000000004</v>
      </c>
      <c r="E277" s="99">
        <f t="shared" si="115"/>
        <v>692.8</v>
      </c>
      <c r="F277" s="99">
        <f t="shared" si="115"/>
        <v>0</v>
      </c>
    </row>
    <row r="278" spans="1:6">
      <c r="A278" s="108" t="s">
        <v>353</v>
      </c>
      <c r="B278" s="108"/>
      <c r="C278" s="107" t="s">
        <v>215</v>
      </c>
      <c r="D278" s="99">
        <f>D279</f>
        <v>2969.1000000000004</v>
      </c>
      <c r="E278" s="99">
        <f t="shared" si="115"/>
        <v>692.8</v>
      </c>
      <c r="F278" s="99">
        <f t="shared" si="115"/>
        <v>0</v>
      </c>
    </row>
    <row r="279" spans="1:6">
      <c r="A279" s="108" t="s">
        <v>353</v>
      </c>
      <c r="B279" s="1" t="s">
        <v>73</v>
      </c>
      <c r="C279" s="26" t="s">
        <v>74</v>
      </c>
      <c r="D279" s="99">
        <f>D280</f>
        <v>2969.1000000000004</v>
      </c>
      <c r="E279" s="99">
        <f t="shared" si="115"/>
        <v>692.8</v>
      </c>
      <c r="F279" s="99">
        <f t="shared" si="115"/>
        <v>0</v>
      </c>
    </row>
    <row r="280" spans="1:6" ht="31.5">
      <c r="A280" s="108" t="s">
        <v>353</v>
      </c>
      <c r="B280" s="1" t="s">
        <v>101</v>
      </c>
      <c r="C280" s="26" t="s">
        <v>102</v>
      </c>
      <c r="D280" s="99">
        <f>' № 5  рп, кцср, квр'!E787</f>
        <v>2969.1000000000004</v>
      </c>
      <c r="E280" s="99">
        <f>' № 5  рп, кцср, квр'!F787</f>
        <v>692.8</v>
      </c>
      <c r="F280" s="99">
        <f>' № 5  рп, кцср, квр'!G787</f>
        <v>0</v>
      </c>
    </row>
    <row r="281" spans="1:6" ht="47.25">
      <c r="A281" s="19">
        <v>3300000000</v>
      </c>
      <c r="B281" s="19"/>
      <c r="C281" s="24" t="s">
        <v>363</v>
      </c>
      <c r="D281" s="98">
        <f>D282+D298+D366</f>
        <v>102179.20000000001</v>
      </c>
      <c r="E281" s="98">
        <f>E282+E298+E366</f>
        <v>49132.799999999996</v>
      </c>
      <c r="F281" s="98">
        <f>F282+F298+F366</f>
        <v>45137.5</v>
      </c>
    </row>
    <row r="282" spans="1:6" ht="47.25">
      <c r="A282" s="108">
        <v>3310000000</v>
      </c>
      <c r="B282" s="108"/>
      <c r="C282" s="107" t="s">
        <v>207</v>
      </c>
      <c r="D282" s="99">
        <f>D283+D287+D291</f>
        <v>19361.3</v>
      </c>
      <c r="E282" s="99">
        <f t="shared" ref="E282:F282" si="116">E283+E287+E291</f>
        <v>152.5</v>
      </c>
      <c r="F282" s="99">
        <f t="shared" si="116"/>
        <v>0</v>
      </c>
    </row>
    <row r="283" spans="1:6" ht="31.5">
      <c r="A283" s="108">
        <v>3310100000</v>
      </c>
      <c r="B283" s="108"/>
      <c r="C283" s="107" t="s">
        <v>309</v>
      </c>
      <c r="D283" s="99">
        <f>D284</f>
        <v>665.3</v>
      </c>
      <c r="E283" s="99">
        <f t="shared" ref="E283:F285" si="117">E284</f>
        <v>0</v>
      </c>
      <c r="F283" s="99">
        <f t="shared" si="117"/>
        <v>0</v>
      </c>
    </row>
    <row r="284" spans="1:6">
      <c r="A284" s="108">
        <v>3310120100</v>
      </c>
      <c r="B284" s="108"/>
      <c r="C284" s="33" t="s">
        <v>221</v>
      </c>
      <c r="D284" s="99">
        <f>D285</f>
        <v>665.3</v>
      </c>
      <c r="E284" s="99">
        <f t="shared" si="117"/>
        <v>0</v>
      </c>
      <c r="F284" s="99">
        <f t="shared" si="117"/>
        <v>0</v>
      </c>
    </row>
    <row r="285" spans="1:6" ht="31.5">
      <c r="A285" s="108">
        <v>3310120100</v>
      </c>
      <c r="B285" s="108" t="s">
        <v>69</v>
      </c>
      <c r="C285" s="30" t="s">
        <v>95</v>
      </c>
      <c r="D285" s="99">
        <f>D286</f>
        <v>665.3</v>
      </c>
      <c r="E285" s="99">
        <f t="shared" si="117"/>
        <v>0</v>
      </c>
      <c r="F285" s="99">
        <f t="shared" si="117"/>
        <v>0</v>
      </c>
    </row>
    <row r="286" spans="1:6" ht="31.5">
      <c r="A286" s="108">
        <v>3310120100</v>
      </c>
      <c r="B286" s="108">
        <v>240</v>
      </c>
      <c r="C286" s="30" t="s">
        <v>216</v>
      </c>
      <c r="D286" s="99">
        <f>' № 5  рп, кцср, квр'!E318</f>
        <v>665.3</v>
      </c>
      <c r="E286" s="99">
        <f>' № 5  рп, кцср, квр'!F318</f>
        <v>0</v>
      </c>
      <c r="F286" s="99">
        <f>' № 5  рп, кцср, квр'!G318</f>
        <v>0</v>
      </c>
    </row>
    <row r="287" spans="1:6">
      <c r="A287" s="108">
        <v>3310200000</v>
      </c>
      <c r="B287" s="108"/>
      <c r="C287" s="107" t="s">
        <v>317</v>
      </c>
      <c r="D287" s="99">
        <f>D288</f>
        <v>5694.2999999999993</v>
      </c>
      <c r="E287" s="99">
        <f t="shared" ref="E287:F289" si="118">E288</f>
        <v>0</v>
      </c>
      <c r="F287" s="99">
        <f t="shared" si="118"/>
        <v>0</v>
      </c>
    </row>
    <row r="288" spans="1:6">
      <c r="A288" s="108" t="s">
        <v>364</v>
      </c>
      <c r="B288" s="108"/>
      <c r="C288" s="107" t="s">
        <v>392</v>
      </c>
      <c r="D288" s="99">
        <f>D289</f>
        <v>5694.2999999999993</v>
      </c>
      <c r="E288" s="99">
        <f t="shared" si="118"/>
        <v>0</v>
      </c>
      <c r="F288" s="99">
        <f t="shared" si="118"/>
        <v>0</v>
      </c>
    </row>
    <row r="289" spans="1:6" ht="31.5">
      <c r="A289" s="108" t="s">
        <v>364</v>
      </c>
      <c r="B289" s="108" t="s">
        <v>69</v>
      </c>
      <c r="C289" s="107" t="s">
        <v>95</v>
      </c>
      <c r="D289" s="99">
        <f>D290</f>
        <v>5694.2999999999993</v>
      </c>
      <c r="E289" s="99">
        <f t="shared" si="118"/>
        <v>0</v>
      </c>
      <c r="F289" s="99">
        <f t="shared" si="118"/>
        <v>0</v>
      </c>
    </row>
    <row r="290" spans="1:6" ht="31.5">
      <c r="A290" s="108" t="s">
        <v>364</v>
      </c>
      <c r="B290" s="108">
        <v>240</v>
      </c>
      <c r="C290" s="107" t="s">
        <v>216</v>
      </c>
      <c r="D290" s="99">
        <f>' № 5  рп, кцср, квр'!E322</f>
        <v>5694.2999999999993</v>
      </c>
      <c r="E290" s="99">
        <f>' № 5  рп, кцср, квр'!F322</f>
        <v>0</v>
      </c>
      <c r="F290" s="99">
        <f>' № 5  рп, кцср, квр'!G322</f>
        <v>0</v>
      </c>
    </row>
    <row r="291" spans="1:6" ht="47.25">
      <c r="A291" s="108" t="s">
        <v>365</v>
      </c>
      <c r="B291" s="108" t="s">
        <v>66</v>
      </c>
      <c r="C291" s="107" t="s">
        <v>301</v>
      </c>
      <c r="D291" s="99">
        <f>D292+D295</f>
        <v>13001.7</v>
      </c>
      <c r="E291" s="99">
        <f t="shared" ref="E291:F291" si="119">E292+E295</f>
        <v>152.5</v>
      </c>
      <c r="F291" s="99">
        <f t="shared" si="119"/>
        <v>0</v>
      </c>
    </row>
    <row r="292" spans="1:6">
      <c r="A292" s="108" t="s">
        <v>366</v>
      </c>
      <c r="B292" s="108" t="s">
        <v>66</v>
      </c>
      <c r="C292" s="107" t="s">
        <v>302</v>
      </c>
      <c r="D292" s="99">
        <f>D293</f>
        <v>12797</v>
      </c>
      <c r="E292" s="99">
        <f t="shared" ref="E292:F293" si="120">E293</f>
        <v>152.5</v>
      </c>
      <c r="F292" s="99">
        <f t="shared" si="120"/>
        <v>0</v>
      </c>
    </row>
    <row r="293" spans="1:6" ht="31.5">
      <c r="A293" s="108" t="s">
        <v>366</v>
      </c>
      <c r="B293" s="108" t="s">
        <v>69</v>
      </c>
      <c r="C293" s="107" t="s">
        <v>95</v>
      </c>
      <c r="D293" s="99">
        <f>D294</f>
        <v>12797</v>
      </c>
      <c r="E293" s="99">
        <f t="shared" si="120"/>
        <v>152.5</v>
      </c>
      <c r="F293" s="99">
        <f t="shared" si="120"/>
        <v>0</v>
      </c>
    </row>
    <row r="294" spans="1:6" ht="31.5">
      <c r="A294" s="108" t="s">
        <v>366</v>
      </c>
      <c r="B294" s="108">
        <v>240</v>
      </c>
      <c r="C294" s="107" t="s">
        <v>216</v>
      </c>
      <c r="D294" s="99">
        <f>' № 5  рп, кцср, квр'!E326</f>
        <v>12797</v>
      </c>
      <c r="E294" s="99">
        <f>' № 5  рп, кцср, квр'!F326</f>
        <v>152.5</v>
      </c>
      <c r="F294" s="99">
        <f>' № 5  рп, кцср, квр'!G326</f>
        <v>0</v>
      </c>
    </row>
    <row r="295" spans="1:6" ht="31.5">
      <c r="A295" s="108" t="s">
        <v>367</v>
      </c>
      <c r="B295" s="108" t="s">
        <v>66</v>
      </c>
      <c r="C295" s="107" t="s">
        <v>310</v>
      </c>
      <c r="D295" s="99">
        <f>D296</f>
        <v>204.7</v>
      </c>
      <c r="E295" s="99">
        <f t="shared" ref="E295:F296" si="121">E296</f>
        <v>0</v>
      </c>
      <c r="F295" s="99">
        <f t="shared" si="121"/>
        <v>0</v>
      </c>
    </row>
    <row r="296" spans="1:6" ht="31.5">
      <c r="A296" s="108" t="s">
        <v>367</v>
      </c>
      <c r="B296" s="108" t="s">
        <v>69</v>
      </c>
      <c r="C296" s="107" t="s">
        <v>95</v>
      </c>
      <c r="D296" s="99">
        <f>D297</f>
        <v>204.7</v>
      </c>
      <c r="E296" s="99">
        <f t="shared" si="121"/>
        <v>0</v>
      </c>
      <c r="F296" s="99">
        <f t="shared" si="121"/>
        <v>0</v>
      </c>
    </row>
    <row r="297" spans="1:6" ht="31.5">
      <c r="A297" s="108" t="s">
        <v>367</v>
      </c>
      <c r="B297" s="108">
        <v>240</v>
      </c>
      <c r="C297" s="107" t="s">
        <v>216</v>
      </c>
      <c r="D297" s="99">
        <f>' № 5  рп, кцср, квр'!E329</f>
        <v>204.7</v>
      </c>
      <c r="E297" s="99">
        <f>' № 5  рп, кцср, квр'!F329</f>
        <v>0</v>
      </c>
      <c r="F297" s="99">
        <f>' № 5  рп, кцср, квр'!G329</f>
        <v>0</v>
      </c>
    </row>
    <row r="298" spans="1:6">
      <c r="A298" s="108">
        <v>3320000000</v>
      </c>
      <c r="B298" s="108"/>
      <c r="C298" s="107" t="s">
        <v>176</v>
      </c>
      <c r="D298" s="99">
        <f>D299+D327+D346+D350+D358+D362+D354</f>
        <v>78733.8</v>
      </c>
      <c r="E298" s="99">
        <f>E299+E327+E346+E350+E358+E362+E354</f>
        <v>48027.199999999997</v>
      </c>
      <c r="F298" s="99">
        <f>F299+F327+F346+F350+F358+F362+F354</f>
        <v>44905</v>
      </c>
    </row>
    <row r="299" spans="1:6" ht="31.5">
      <c r="A299" s="108">
        <v>3320100000</v>
      </c>
      <c r="B299" s="108"/>
      <c r="C299" s="107" t="s">
        <v>318</v>
      </c>
      <c r="D299" s="99">
        <f>D306+D309+D312+D300+D303+D315+D318+D321+D324</f>
        <v>3287.7999999999997</v>
      </c>
      <c r="E299" s="99">
        <f t="shared" ref="E299:F299" si="122">E306+E309+E312+E300+E303+E315+E318+E321+E324</f>
        <v>20</v>
      </c>
      <c r="F299" s="99">
        <f t="shared" si="122"/>
        <v>0</v>
      </c>
    </row>
    <row r="300" spans="1:6" ht="63">
      <c r="A300" s="108">
        <v>3320119090</v>
      </c>
      <c r="B300" s="108"/>
      <c r="C300" s="107" t="s">
        <v>416</v>
      </c>
      <c r="D300" s="99">
        <f>D301</f>
        <v>1003.9</v>
      </c>
      <c r="E300" s="99">
        <f t="shared" ref="E300:F301" si="123">E301</f>
        <v>0</v>
      </c>
      <c r="F300" s="99">
        <f t="shared" si="123"/>
        <v>0</v>
      </c>
    </row>
    <row r="301" spans="1:6" ht="31.5">
      <c r="A301" s="108">
        <v>3320119090</v>
      </c>
      <c r="B301" s="108" t="s">
        <v>69</v>
      </c>
      <c r="C301" s="107" t="s">
        <v>95</v>
      </c>
      <c r="D301" s="99">
        <f>D302</f>
        <v>1003.9</v>
      </c>
      <c r="E301" s="99">
        <f t="shared" si="123"/>
        <v>0</v>
      </c>
      <c r="F301" s="99">
        <f t="shared" si="123"/>
        <v>0</v>
      </c>
    </row>
    <row r="302" spans="1:6" ht="31.5">
      <c r="A302" s="108">
        <v>3320119090</v>
      </c>
      <c r="B302" s="108">
        <v>240</v>
      </c>
      <c r="C302" s="107" t="s">
        <v>216</v>
      </c>
      <c r="D302" s="99">
        <f>' № 5  рп, кцср, квр'!E334</f>
        <v>1003.9</v>
      </c>
      <c r="E302" s="99">
        <f>' № 5  рп, кцср, квр'!F334</f>
        <v>0</v>
      </c>
      <c r="F302" s="99">
        <f>' № 5  рп, кцср, квр'!G334</f>
        <v>0</v>
      </c>
    </row>
    <row r="303" spans="1:6" ht="63">
      <c r="A303" s="108">
        <v>3320119100</v>
      </c>
      <c r="B303" s="108"/>
      <c r="C303" s="107" t="s">
        <v>798</v>
      </c>
      <c r="D303" s="99">
        <f>D304</f>
        <v>1476.5</v>
      </c>
      <c r="E303" s="99">
        <f t="shared" ref="E303:F304" si="124">E304</f>
        <v>0</v>
      </c>
      <c r="F303" s="99">
        <f t="shared" si="124"/>
        <v>0</v>
      </c>
    </row>
    <row r="304" spans="1:6" ht="31.5">
      <c r="A304" s="108">
        <v>3320119100</v>
      </c>
      <c r="B304" s="108" t="s">
        <v>69</v>
      </c>
      <c r="C304" s="107" t="s">
        <v>95</v>
      </c>
      <c r="D304" s="99">
        <f>D305</f>
        <v>1476.5</v>
      </c>
      <c r="E304" s="99">
        <f t="shared" si="124"/>
        <v>0</v>
      </c>
      <c r="F304" s="99">
        <f t="shared" si="124"/>
        <v>0</v>
      </c>
    </row>
    <row r="305" spans="1:6" ht="31.5">
      <c r="A305" s="108">
        <v>3320119100</v>
      </c>
      <c r="B305" s="108">
        <v>240</v>
      </c>
      <c r="C305" s="107" t="s">
        <v>216</v>
      </c>
      <c r="D305" s="99">
        <f>' № 5  рп, кцср, квр'!E337</f>
        <v>1476.5</v>
      </c>
      <c r="E305" s="99">
        <f>' № 5  рп, кцср, квр'!F337</f>
        <v>0</v>
      </c>
      <c r="F305" s="99">
        <f>' № 5  рп, кцср, квр'!G337</f>
        <v>0</v>
      </c>
    </row>
    <row r="306" spans="1:6">
      <c r="A306" s="108">
        <v>3320120100</v>
      </c>
      <c r="B306" s="108"/>
      <c r="C306" s="107" t="s">
        <v>221</v>
      </c>
      <c r="D306" s="99">
        <f>D307</f>
        <v>449.99999999999989</v>
      </c>
      <c r="E306" s="99">
        <f t="shared" ref="E306:F307" si="125">E307</f>
        <v>0</v>
      </c>
      <c r="F306" s="99">
        <f t="shared" si="125"/>
        <v>0</v>
      </c>
    </row>
    <row r="307" spans="1:6" ht="31.5">
      <c r="A307" s="108">
        <v>3320120100</v>
      </c>
      <c r="B307" s="108" t="s">
        <v>69</v>
      </c>
      <c r="C307" s="107" t="s">
        <v>95</v>
      </c>
      <c r="D307" s="99">
        <f>D308</f>
        <v>449.99999999999989</v>
      </c>
      <c r="E307" s="99">
        <f t="shared" si="125"/>
        <v>0</v>
      </c>
      <c r="F307" s="99">
        <f t="shared" si="125"/>
        <v>0</v>
      </c>
    </row>
    <row r="308" spans="1:6" ht="31.5">
      <c r="A308" s="108">
        <v>3320120100</v>
      </c>
      <c r="B308" s="108">
        <v>240</v>
      </c>
      <c r="C308" s="107" t="s">
        <v>216</v>
      </c>
      <c r="D308" s="99">
        <f>' № 5  рп, кцср, квр'!E340</f>
        <v>449.99999999999989</v>
      </c>
      <c r="E308" s="99">
        <f>' № 5  рп, кцср, квр'!F340</f>
        <v>0</v>
      </c>
      <c r="F308" s="99">
        <f>' № 5  рп, кцср, квр'!G340</f>
        <v>0</v>
      </c>
    </row>
    <row r="309" spans="1:6" ht="63">
      <c r="A309" s="108">
        <v>3320129090</v>
      </c>
      <c r="B309" s="108"/>
      <c r="C309" s="107" t="s">
        <v>322</v>
      </c>
      <c r="D309" s="99">
        <f>D310</f>
        <v>186.4</v>
      </c>
      <c r="E309" s="99">
        <f t="shared" ref="E309:F310" si="126">E310</f>
        <v>0</v>
      </c>
      <c r="F309" s="99">
        <f t="shared" si="126"/>
        <v>0</v>
      </c>
    </row>
    <row r="310" spans="1:6" ht="31.5">
      <c r="A310" s="108">
        <v>3320129090</v>
      </c>
      <c r="B310" s="108" t="s">
        <v>69</v>
      </c>
      <c r="C310" s="107" t="s">
        <v>95</v>
      </c>
      <c r="D310" s="99">
        <f>D311</f>
        <v>186.4</v>
      </c>
      <c r="E310" s="99">
        <f t="shared" si="126"/>
        <v>0</v>
      </c>
      <c r="F310" s="99">
        <f t="shared" si="126"/>
        <v>0</v>
      </c>
    </row>
    <row r="311" spans="1:6" ht="31.5">
      <c r="A311" s="108">
        <v>3320129090</v>
      </c>
      <c r="B311" s="108">
        <v>240</v>
      </c>
      <c r="C311" s="107" t="s">
        <v>216</v>
      </c>
      <c r="D311" s="99">
        <f>' № 5  рп, кцср, квр'!E343</f>
        <v>186.4</v>
      </c>
      <c r="E311" s="99">
        <f>' № 5  рп, кцср, квр'!F343</f>
        <v>0</v>
      </c>
      <c r="F311" s="99">
        <f>' № 5  рп, кцср, квр'!G343</f>
        <v>0</v>
      </c>
    </row>
    <row r="312" spans="1:6" ht="63">
      <c r="A312" s="108">
        <v>3320129100</v>
      </c>
      <c r="B312" s="108"/>
      <c r="C312" s="107" t="s">
        <v>799</v>
      </c>
      <c r="D312" s="99">
        <f>D313</f>
        <v>171</v>
      </c>
      <c r="E312" s="99">
        <f t="shared" ref="E312:F313" si="127">E313</f>
        <v>0</v>
      </c>
      <c r="F312" s="99">
        <f t="shared" si="127"/>
        <v>0</v>
      </c>
    </row>
    <row r="313" spans="1:6" ht="31.5">
      <c r="A313" s="108">
        <v>3320129100</v>
      </c>
      <c r="B313" s="108" t="s">
        <v>69</v>
      </c>
      <c r="C313" s="107" t="s">
        <v>95</v>
      </c>
      <c r="D313" s="99">
        <f>D314</f>
        <v>171</v>
      </c>
      <c r="E313" s="99">
        <f t="shared" si="127"/>
        <v>0</v>
      </c>
      <c r="F313" s="99">
        <f t="shared" si="127"/>
        <v>0</v>
      </c>
    </row>
    <row r="314" spans="1:6" ht="31.5">
      <c r="A314" s="108">
        <v>3320129100</v>
      </c>
      <c r="B314" s="108">
        <v>240</v>
      </c>
      <c r="C314" s="107" t="s">
        <v>216</v>
      </c>
      <c r="D314" s="99">
        <f>' № 5  рп, кцср, квр'!E346</f>
        <v>171</v>
      </c>
      <c r="E314" s="99">
        <f>' № 5  рп, кцср, квр'!F346</f>
        <v>0</v>
      </c>
      <c r="F314" s="99">
        <f>' № 5  рп, кцср, квр'!G346</f>
        <v>0</v>
      </c>
    </row>
    <row r="315" spans="1:6" ht="63">
      <c r="A315" s="108">
        <v>3320129101</v>
      </c>
      <c r="B315" s="108"/>
      <c r="C315" s="107" t="s">
        <v>806</v>
      </c>
      <c r="D315" s="99">
        <f>D316</f>
        <v>0</v>
      </c>
      <c r="E315" s="99">
        <f t="shared" ref="E315:F316" si="128">E316</f>
        <v>5</v>
      </c>
      <c r="F315" s="99">
        <f t="shared" si="128"/>
        <v>0</v>
      </c>
    </row>
    <row r="316" spans="1:6" ht="31.5">
      <c r="A316" s="108">
        <v>3320129101</v>
      </c>
      <c r="B316" s="108" t="s">
        <v>69</v>
      </c>
      <c r="C316" s="107" t="s">
        <v>95</v>
      </c>
      <c r="D316" s="99">
        <f>D317</f>
        <v>0</v>
      </c>
      <c r="E316" s="99">
        <f t="shared" si="128"/>
        <v>5</v>
      </c>
      <c r="F316" s="99">
        <f t="shared" si="128"/>
        <v>0</v>
      </c>
    </row>
    <row r="317" spans="1:6" ht="31.5">
      <c r="A317" s="108">
        <v>3320129101</v>
      </c>
      <c r="B317" s="108">
        <v>240</v>
      </c>
      <c r="C317" s="107" t="s">
        <v>216</v>
      </c>
      <c r="D317" s="99">
        <f>' № 5  рп, кцср, квр'!E349</f>
        <v>0</v>
      </c>
      <c r="E317" s="99">
        <f>' № 5  рп, кцср, квр'!F349</f>
        <v>5</v>
      </c>
      <c r="F317" s="99">
        <f>' № 5  рп, кцср, квр'!G349</f>
        <v>0</v>
      </c>
    </row>
    <row r="318" spans="1:6" ht="63">
      <c r="A318" s="108">
        <v>3320129102</v>
      </c>
      <c r="B318" s="108"/>
      <c r="C318" s="107" t="s">
        <v>807</v>
      </c>
      <c r="D318" s="99">
        <f>D319</f>
        <v>0</v>
      </c>
      <c r="E318" s="99">
        <f t="shared" ref="E318:F319" si="129">E319</f>
        <v>5</v>
      </c>
      <c r="F318" s="99">
        <f t="shared" si="129"/>
        <v>0</v>
      </c>
    </row>
    <row r="319" spans="1:6" ht="31.5">
      <c r="A319" s="108">
        <v>3320129102</v>
      </c>
      <c r="B319" s="108" t="s">
        <v>69</v>
      </c>
      <c r="C319" s="107" t="s">
        <v>95</v>
      </c>
      <c r="D319" s="99">
        <f>D320</f>
        <v>0</v>
      </c>
      <c r="E319" s="99">
        <f t="shared" si="129"/>
        <v>5</v>
      </c>
      <c r="F319" s="99">
        <f t="shared" si="129"/>
        <v>0</v>
      </c>
    </row>
    <row r="320" spans="1:6" ht="31.5">
      <c r="A320" s="108">
        <v>3320129102</v>
      </c>
      <c r="B320" s="108">
        <v>240</v>
      </c>
      <c r="C320" s="107" t="s">
        <v>216</v>
      </c>
      <c r="D320" s="99">
        <f>' № 5  рп, кцср, квр'!E352</f>
        <v>0</v>
      </c>
      <c r="E320" s="99">
        <f>' № 5  рп, кцср, квр'!F352</f>
        <v>5</v>
      </c>
      <c r="F320" s="99">
        <f>' № 5  рп, кцср, квр'!G352</f>
        <v>0</v>
      </c>
    </row>
    <row r="321" spans="1:6" ht="63">
      <c r="A321" s="108">
        <v>3320129103</v>
      </c>
      <c r="B321" s="108"/>
      <c r="C321" s="107" t="s">
        <v>808</v>
      </c>
      <c r="D321" s="99">
        <f>D322</f>
        <v>0</v>
      </c>
      <c r="E321" s="99">
        <f t="shared" ref="E321:F322" si="130">E322</f>
        <v>5</v>
      </c>
      <c r="F321" s="99">
        <f t="shared" si="130"/>
        <v>0</v>
      </c>
    </row>
    <row r="322" spans="1:6" ht="31.5">
      <c r="A322" s="108">
        <v>3320129103</v>
      </c>
      <c r="B322" s="108" t="s">
        <v>69</v>
      </c>
      <c r="C322" s="107" t="s">
        <v>95</v>
      </c>
      <c r="D322" s="99">
        <f>D323</f>
        <v>0</v>
      </c>
      <c r="E322" s="99">
        <f t="shared" si="130"/>
        <v>5</v>
      </c>
      <c r="F322" s="99">
        <f t="shared" si="130"/>
        <v>0</v>
      </c>
    </row>
    <row r="323" spans="1:6" ht="31.5">
      <c r="A323" s="108">
        <v>3320129103</v>
      </c>
      <c r="B323" s="108">
        <v>240</v>
      </c>
      <c r="C323" s="107" t="s">
        <v>216</v>
      </c>
      <c r="D323" s="99">
        <f>' № 5  рп, кцср, квр'!E355</f>
        <v>0</v>
      </c>
      <c r="E323" s="99">
        <f>' № 5  рп, кцср, квр'!F355</f>
        <v>5</v>
      </c>
      <c r="F323" s="99">
        <f>' № 5  рп, кцср, квр'!G355</f>
        <v>0</v>
      </c>
    </row>
    <row r="324" spans="1:6" ht="63">
      <c r="A324" s="108">
        <v>3320129104</v>
      </c>
      <c r="B324" s="108"/>
      <c r="C324" s="107" t="s">
        <v>809</v>
      </c>
      <c r="D324" s="99">
        <f>D325</f>
        <v>0</v>
      </c>
      <c r="E324" s="99">
        <f t="shared" ref="E324:F325" si="131">E325</f>
        <v>5</v>
      </c>
      <c r="F324" s="99">
        <f t="shared" si="131"/>
        <v>0</v>
      </c>
    </row>
    <row r="325" spans="1:6" ht="31.5">
      <c r="A325" s="108">
        <v>3320129104</v>
      </c>
      <c r="B325" s="108" t="s">
        <v>69</v>
      </c>
      <c r="C325" s="107" t="s">
        <v>95</v>
      </c>
      <c r="D325" s="99">
        <f>D326</f>
        <v>0</v>
      </c>
      <c r="E325" s="99">
        <f t="shared" si="131"/>
        <v>5</v>
      </c>
      <c r="F325" s="99">
        <f t="shared" si="131"/>
        <v>0</v>
      </c>
    </row>
    <row r="326" spans="1:6" ht="31.5">
      <c r="A326" s="108">
        <v>3320129104</v>
      </c>
      <c r="B326" s="108">
        <v>240</v>
      </c>
      <c r="C326" s="107" t="s">
        <v>216</v>
      </c>
      <c r="D326" s="99">
        <f>' № 5  рп, кцср, квр'!E358</f>
        <v>0</v>
      </c>
      <c r="E326" s="99">
        <f>' № 5  рп, кцср, квр'!F358</f>
        <v>5</v>
      </c>
      <c r="F326" s="99">
        <f>' № 5  рп, кцср, квр'!G358</f>
        <v>0</v>
      </c>
    </row>
    <row r="327" spans="1:6">
      <c r="A327" s="108">
        <v>3320200000</v>
      </c>
      <c r="B327" s="108"/>
      <c r="C327" s="107" t="s">
        <v>128</v>
      </c>
      <c r="D327" s="99">
        <f>D328+D331+D334+D340+D337+D343</f>
        <v>44928.2</v>
      </c>
      <c r="E327" s="99">
        <f t="shared" ref="E327:F327" si="132">E328+E331+E334+E340+E337+E343</f>
        <v>28065.599999999999</v>
      </c>
      <c r="F327" s="99">
        <f t="shared" si="132"/>
        <v>24963.399999999998</v>
      </c>
    </row>
    <row r="328" spans="1:6">
      <c r="A328" s="108">
        <v>3320220050</v>
      </c>
      <c r="B328" s="108"/>
      <c r="C328" s="107" t="s">
        <v>129</v>
      </c>
      <c r="D328" s="99">
        <f>D329</f>
        <v>20868.099999999999</v>
      </c>
      <c r="E328" s="99">
        <f t="shared" ref="E328:F329" si="133">E329</f>
        <v>20868.099999999999</v>
      </c>
      <c r="F328" s="99">
        <f t="shared" si="133"/>
        <v>20868.099999999999</v>
      </c>
    </row>
    <row r="329" spans="1:6" ht="31.5">
      <c r="A329" s="108">
        <v>3320220050</v>
      </c>
      <c r="B329" s="108" t="s">
        <v>69</v>
      </c>
      <c r="C329" s="107" t="s">
        <v>95</v>
      </c>
      <c r="D329" s="99">
        <f>D330</f>
        <v>20868.099999999999</v>
      </c>
      <c r="E329" s="99">
        <f t="shared" si="133"/>
        <v>20868.099999999999</v>
      </c>
      <c r="F329" s="99">
        <f t="shared" si="133"/>
        <v>20868.099999999999</v>
      </c>
    </row>
    <row r="330" spans="1:6" ht="31.5">
      <c r="A330" s="108">
        <v>3320220050</v>
      </c>
      <c r="B330" s="108">
        <v>240</v>
      </c>
      <c r="C330" s="107" t="s">
        <v>216</v>
      </c>
      <c r="D330" s="99">
        <f>' № 5  рп, кцср, квр'!E362</f>
        <v>20868.099999999999</v>
      </c>
      <c r="E330" s="99">
        <f>' № 5  рп, кцср, квр'!F362</f>
        <v>20868.099999999999</v>
      </c>
      <c r="F330" s="99">
        <f>' № 5  рп, кцср, квр'!G362</f>
        <v>20868.099999999999</v>
      </c>
    </row>
    <row r="331" spans="1:6">
      <c r="A331" s="108">
        <v>3320220070</v>
      </c>
      <c r="B331" s="108"/>
      <c r="C331" s="107" t="s">
        <v>130</v>
      </c>
      <c r="D331" s="99">
        <f>D332</f>
        <v>8342</v>
      </c>
      <c r="E331" s="99">
        <f t="shared" ref="E331:F332" si="134">E332</f>
        <v>6197.5</v>
      </c>
      <c r="F331" s="99">
        <f t="shared" si="134"/>
        <v>4095.3</v>
      </c>
    </row>
    <row r="332" spans="1:6" ht="31.5">
      <c r="A332" s="108">
        <v>3320220070</v>
      </c>
      <c r="B332" s="108" t="s">
        <v>69</v>
      </c>
      <c r="C332" s="107" t="s">
        <v>95</v>
      </c>
      <c r="D332" s="99">
        <f>D333</f>
        <v>8342</v>
      </c>
      <c r="E332" s="99">
        <f t="shared" si="134"/>
        <v>6197.5</v>
      </c>
      <c r="F332" s="99">
        <f t="shared" si="134"/>
        <v>4095.3</v>
      </c>
    </row>
    <row r="333" spans="1:6" ht="31.5">
      <c r="A333" s="108">
        <v>3320220070</v>
      </c>
      <c r="B333" s="108">
        <v>240</v>
      </c>
      <c r="C333" s="107" t="s">
        <v>216</v>
      </c>
      <c r="D333" s="99">
        <f>' № 5  рп, кцср, квр'!E365</f>
        <v>8342</v>
      </c>
      <c r="E333" s="99">
        <f>' № 5  рп, кцср, квр'!F365</f>
        <v>6197.5</v>
      </c>
      <c r="F333" s="99">
        <f>' № 5  рп, кцср, квр'!G365</f>
        <v>4095.3</v>
      </c>
    </row>
    <row r="334" spans="1:6">
      <c r="A334" s="108">
        <v>3320220080</v>
      </c>
      <c r="B334" s="108"/>
      <c r="C334" s="107" t="s">
        <v>131</v>
      </c>
      <c r="D334" s="99">
        <f>D335</f>
        <v>3162</v>
      </c>
      <c r="E334" s="99">
        <f t="shared" ref="E334:F335" si="135">E335</f>
        <v>1000</v>
      </c>
      <c r="F334" s="99">
        <f t="shared" si="135"/>
        <v>0</v>
      </c>
    </row>
    <row r="335" spans="1:6" ht="31.5">
      <c r="A335" s="108">
        <v>3320220080</v>
      </c>
      <c r="B335" s="108" t="s">
        <v>69</v>
      </c>
      <c r="C335" s="107" t="s">
        <v>95</v>
      </c>
      <c r="D335" s="99">
        <f>D336</f>
        <v>3162</v>
      </c>
      <c r="E335" s="99">
        <f t="shared" si="135"/>
        <v>1000</v>
      </c>
      <c r="F335" s="99">
        <f t="shared" si="135"/>
        <v>0</v>
      </c>
    </row>
    <row r="336" spans="1:6" ht="31.5">
      <c r="A336" s="108">
        <v>3320220080</v>
      </c>
      <c r="B336" s="108">
        <v>240</v>
      </c>
      <c r="C336" s="107" t="s">
        <v>216</v>
      </c>
      <c r="D336" s="99">
        <f>' № 5  рп, кцср, квр'!E368</f>
        <v>3162</v>
      </c>
      <c r="E336" s="99">
        <f>' № 5  рп, кцср, квр'!F368</f>
        <v>1000</v>
      </c>
      <c r="F336" s="99">
        <f>' № 5  рп, кцср, квр'!G368</f>
        <v>0</v>
      </c>
    </row>
    <row r="337" spans="1:6">
      <c r="A337" s="108">
        <v>3320220090</v>
      </c>
      <c r="B337" s="108"/>
      <c r="C337" s="5" t="s">
        <v>444</v>
      </c>
      <c r="D337" s="99">
        <f>D338</f>
        <v>580.10000000000014</v>
      </c>
      <c r="E337" s="99">
        <f t="shared" ref="E337:F338" si="136">E338</f>
        <v>0</v>
      </c>
      <c r="F337" s="99">
        <f t="shared" si="136"/>
        <v>0</v>
      </c>
    </row>
    <row r="338" spans="1:6" ht="31.5">
      <c r="A338" s="108">
        <v>3320220090</v>
      </c>
      <c r="B338" s="108" t="s">
        <v>69</v>
      </c>
      <c r="C338" s="107" t="s">
        <v>95</v>
      </c>
      <c r="D338" s="99">
        <f>D339</f>
        <v>580.10000000000014</v>
      </c>
      <c r="E338" s="99">
        <f t="shared" si="136"/>
        <v>0</v>
      </c>
      <c r="F338" s="99">
        <f t="shared" si="136"/>
        <v>0</v>
      </c>
    </row>
    <row r="339" spans="1:6" ht="31.5">
      <c r="A339" s="108">
        <v>3320220090</v>
      </c>
      <c r="B339" s="108">
        <v>240</v>
      </c>
      <c r="C339" s="107" t="s">
        <v>216</v>
      </c>
      <c r="D339" s="99">
        <f>' № 5  рп, кцср, квр'!E371</f>
        <v>580.10000000000014</v>
      </c>
      <c r="E339" s="99">
        <f>' № 5  рп, кцср, квр'!F371</f>
        <v>0</v>
      </c>
      <c r="F339" s="99">
        <f>' № 5  рп, кцср, квр'!G371</f>
        <v>0</v>
      </c>
    </row>
    <row r="340" spans="1:6">
      <c r="A340" s="108">
        <v>3320220110</v>
      </c>
      <c r="B340" s="108"/>
      <c r="C340" s="107" t="s">
        <v>272</v>
      </c>
      <c r="D340" s="99">
        <f>D341</f>
        <v>11405</v>
      </c>
      <c r="E340" s="99">
        <f t="shared" ref="E340:F341" si="137">E341</f>
        <v>0</v>
      </c>
      <c r="F340" s="99">
        <f t="shared" si="137"/>
        <v>0</v>
      </c>
    </row>
    <row r="341" spans="1:6" ht="31.5">
      <c r="A341" s="108">
        <v>3320220110</v>
      </c>
      <c r="B341" s="108" t="s">
        <v>69</v>
      </c>
      <c r="C341" s="107" t="s">
        <v>95</v>
      </c>
      <c r="D341" s="99">
        <f>D342</f>
        <v>11405</v>
      </c>
      <c r="E341" s="99">
        <f t="shared" si="137"/>
        <v>0</v>
      </c>
      <c r="F341" s="99">
        <f t="shared" si="137"/>
        <v>0</v>
      </c>
    </row>
    <row r="342" spans="1:6" ht="31.5">
      <c r="A342" s="108">
        <v>3320220110</v>
      </c>
      <c r="B342" s="108">
        <v>240</v>
      </c>
      <c r="C342" s="107" t="s">
        <v>216</v>
      </c>
      <c r="D342" s="99">
        <f>' № 5  рп, кцср, квр'!E374</f>
        <v>11405</v>
      </c>
      <c r="E342" s="99">
        <f>' № 5  рп, кцср, квр'!F374</f>
        <v>0</v>
      </c>
      <c r="F342" s="99">
        <f>' № 5  рп, кцср, квр'!G374</f>
        <v>0</v>
      </c>
    </row>
    <row r="343" spans="1:6">
      <c r="A343" s="108" t="s">
        <v>470</v>
      </c>
      <c r="B343" s="108"/>
      <c r="C343" s="107" t="s">
        <v>471</v>
      </c>
      <c r="D343" s="99">
        <f>D344</f>
        <v>571</v>
      </c>
      <c r="E343" s="99">
        <f t="shared" ref="E343:F344" si="138">E344</f>
        <v>0</v>
      </c>
      <c r="F343" s="99">
        <f t="shared" si="138"/>
        <v>0</v>
      </c>
    </row>
    <row r="344" spans="1:6" ht="31.5">
      <c r="A344" s="108" t="s">
        <v>470</v>
      </c>
      <c r="B344" s="108" t="s">
        <v>69</v>
      </c>
      <c r="C344" s="107" t="s">
        <v>95</v>
      </c>
      <c r="D344" s="99">
        <f>D345</f>
        <v>571</v>
      </c>
      <c r="E344" s="99">
        <f t="shared" si="138"/>
        <v>0</v>
      </c>
      <c r="F344" s="99">
        <f t="shared" si="138"/>
        <v>0</v>
      </c>
    </row>
    <row r="345" spans="1:6" ht="31.5">
      <c r="A345" s="108" t="s">
        <v>470</v>
      </c>
      <c r="B345" s="108">
        <v>240</v>
      </c>
      <c r="C345" s="107" t="s">
        <v>216</v>
      </c>
      <c r="D345" s="99">
        <f>' № 5  рп, кцср, квр'!E377</f>
        <v>571</v>
      </c>
      <c r="E345" s="99">
        <f>' № 5  рп, кцср, квр'!F377</f>
        <v>0</v>
      </c>
      <c r="F345" s="99">
        <f>' № 5  рп, кцср, квр'!G377</f>
        <v>0</v>
      </c>
    </row>
    <row r="346" spans="1:6">
      <c r="A346" s="108">
        <v>3320300000</v>
      </c>
      <c r="B346" s="108"/>
      <c r="C346" s="107" t="s">
        <v>286</v>
      </c>
      <c r="D346" s="99">
        <f>D347</f>
        <v>1072.0999999999999</v>
      </c>
      <c r="E346" s="99">
        <f t="shared" ref="E346:F348" si="139">E347</f>
        <v>0</v>
      </c>
      <c r="F346" s="99">
        <f t="shared" si="139"/>
        <v>0</v>
      </c>
    </row>
    <row r="347" spans="1:6">
      <c r="A347" s="108">
        <v>3320320060</v>
      </c>
      <c r="B347" s="108"/>
      <c r="C347" s="107" t="s">
        <v>287</v>
      </c>
      <c r="D347" s="99">
        <f>D348</f>
        <v>1072.0999999999999</v>
      </c>
      <c r="E347" s="99">
        <f t="shared" si="139"/>
        <v>0</v>
      </c>
      <c r="F347" s="99">
        <f t="shared" si="139"/>
        <v>0</v>
      </c>
    </row>
    <row r="348" spans="1:6" ht="31.5">
      <c r="A348" s="108">
        <v>3320320060</v>
      </c>
      <c r="B348" s="108" t="s">
        <v>72</v>
      </c>
      <c r="C348" s="30" t="s">
        <v>96</v>
      </c>
      <c r="D348" s="14">
        <f>D349</f>
        <v>1072.0999999999999</v>
      </c>
      <c r="E348" s="14">
        <f t="shared" si="139"/>
        <v>0</v>
      </c>
      <c r="F348" s="14">
        <f t="shared" si="139"/>
        <v>0</v>
      </c>
    </row>
    <row r="349" spans="1:6">
      <c r="A349" s="108">
        <v>3320320060</v>
      </c>
      <c r="B349" s="108" t="s">
        <v>119</v>
      </c>
      <c r="C349" s="30" t="s">
        <v>120</v>
      </c>
      <c r="D349" s="14">
        <f>' № 5  рп, кцср, квр'!E381</f>
        <v>1072.0999999999999</v>
      </c>
      <c r="E349" s="14">
        <f>' № 5  рп, кцср, квр'!F381</f>
        <v>0</v>
      </c>
      <c r="F349" s="14">
        <f>' № 5  рп, кцср, квр'!G381</f>
        <v>0</v>
      </c>
    </row>
    <row r="350" spans="1:6" ht="47.25">
      <c r="A350" s="108">
        <v>3320400000</v>
      </c>
      <c r="B350" s="108"/>
      <c r="C350" s="107" t="s">
        <v>313</v>
      </c>
      <c r="D350" s="14">
        <f>D351</f>
        <v>23562.6</v>
      </c>
      <c r="E350" s="14">
        <f t="shared" ref="E350:F352" si="140">E351</f>
        <v>19941.599999999999</v>
      </c>
      <c r="F350" s="14">
        <f t="shared" si="140"/>
        <v>19941.599999999999</v>
      </c>
    </row>
    <row r="351" spans="1:6" ht="31.5">
      <c r="A351" s="108">
        <v>3320420010</v>
      </c>
      <c r="B351" s="108"/>
      <c r="C351" s="107" t="s">
        <v>123</v>
      </c>
      <c r="D351" s="14">
        <f>D352</f>
        <v>23562.6</v>
      </c>
      <c r="E351" s="14">
        <f t="shared" si="140"/>
        <v>19941.599999999999</v>
      </c>
      <c r="F351" s="14">
        <f t="shared" si="140"/>
        <v>19941.599999999999</v>
      </c>
    </row>
    <row r="352" spans="1:6" ht="31.5">
      <c r="A352" s="108">
        <v>3320420010</v>
      </c>
      <c r="B352" s="108">
        <v>600</v>
      </c>
      <c r="C352" s="107" t="s">
        <v>83</v>
      </c>
      <c r="D352" s="14">
        <f>D353</f>
        <v>23562.6</v>
      </c>
      <c r="E352" s="14">
        <f t="shared" si="140"/>
        <v>19941.599999999999</v>
      </c>
      <c r="F352" s="14">
        <f t="shared" si="140"/>
        <v>19941.599999999999</v>
      </c>
    </row>
    <row r="353" spans="1:6">
      <c r="A353" s="108">
        <v>3320420010</v>
      </c>
      <c r="B353" s="108">
        <v>610</v>
      </c>
      <c r="C353" s="107" t="s">
        <v>104</v>
      </c>
      <c r="D353" s="14">
        <f>' № 5  рп, кцср, квр'!E383+' № 5  рп, кцср, квр'!E402</f>
        <v>23562.6</v>
      </c>
      <c r="E353" s="14">
        <f>' № 5  рп, кцср, квр'!F383+' № 5  рп, кцср, квр'!F402</f>
        <v>19941.599999999999</v>
      </c>
      <c r="F353" s="14">
        <f>' № 5  рп, кцср, квр'!G383+' № 5  рп, кцср, квр'!G402</f>
        <v>19941.599999999999</v>
      </c>
    </row>
    <row r="354" spans="1:6" ht="63">
      <c r="A354" s="108">
        <v>3320500000</v>
      </c>
      <c r="B354" s="108"/>
      <c r="C354" s="107" t="s">
        <v>482</v>
      </c>
      <c r="D354" s="14">
        <f>D355</f>
        <v>5678.8</v>
      </c>
      <c r="E354" s="14">
        <f t="shared" ref="E354:F356" si="141">E355</f>
        <v>0</v>
      </c>
      <c r="F354" s="14">
        <f t="shared" si="141"/>
        <v>0</v>
      </c>
    </row>
    <row r="355" spans="1:6" ht="31.5">
      <c r="A355" s="108">
        <v>3320520020</v>
      </c>
      <c r="B355" s="108"/>
      <c r="C355" s="33" t="s">
        <v>319</v>
      </c>
      <c r="D355" s="14">
        <f>D356</f>
        <v>5678.8</v>
      </c>
      <c r="E355" s="14">
        <f t="shared" si="141"/>
        <v>0</v>
      </c>
      <c r="F355" s="14">
        <f t="shared" si="141"/>
        <v>0</v>
      </c>
    </row>
    <row r="356" spans="1:6" ht="31.5">
      <c r="A356" s="108">
        <v>3320520020</v>
      </c>
      <c r="B356" s="108" t="s">
        <v>97</v>
      </c>
      <c r="C356" s="107" t="s">
        <v>98</v>
      </c>
      <c r="D356" s="14">
        <f>D357</f>
        <v>5678.8</v>
      </c>
      <c r="E356" s="14">
        <f t="shared" si="141"/>
        <v>0</v>
      </c>
      <c r="F356" s="14">
        <f t="shared" si="141"/>
        <v>0</v>
      </c>
    </row>
    <row r="357" spans="1:6">
      <c r="A357" s="108">
        <v>3320520020</v>
      </c>
      <c r="B357" s="108">
        <v>610</v>
      </c>
      <c r="C357" s="107" t="s">
        <v>104</v>
      </c>
      <c r="D357" s="14">
        <f>' № 5  рп, кцср, квр'!E408</f>
        <v>5678.8</v>
      </c>
      <c r="E357" s="14">
        <f>' № 5  рп, кцср, квр'!F408</f>
        <v>0</v>
      </c>
      <c r="F357" s="14">
        <f>' № 5  рп, кцср, квр'!G408</f>
        <v>0</v>
      </c>
    </row>
    <row r="358" spans="1:6" ht="47.25">
      <c r="A358" s="108">
        <v>3320600000</v>
      </c>
      <c r="B358" s="108"/>
      <c r="C358" s="107" t="s">
        <v>393</v>
      </c>
      <c r="D358" s="14">
        <f>D359</f>
        <v>99</v>
      </c>
      <c r="E358" s="14">
        <f t="shared" ref="E358:F360" si="142">E359</f>
        <v>0</v>
      </c>
      <c r="F358" s="14">
        <f t="shared" si="142"/>
        <v>0</v>
      </c>
    </row>
    <row r="359" spans="1:6" ht="31.5">
      <c r="A359" s="108">
        <v>3320620030</v>
      </c>
      <c r="B359" s="108"/>
      <c r="C359" s="107" t="s">
        <v>282</v>
      </c>
      <c r="D359" s="14">
        <f>D360</f>
        <v>99</v>
      </c>
      <c r="E359" s="14">
        <f t="shared" si="142"/>
        <v>0</v>
      </c>
      <c r="F359" s="14">
        <f t="shared" si="142"/>
        <v>0</v>
      </c>
    </row>
    <row r="360" spans="1:6" ht="31.5">
      <c r="A360" s="108">
        <v>3320620030</v>
      </c>
      <c r="B360" s="108">
        <v>600</v>
      </c>
      <c r="C360" s="107" t="s">
        <v>83</v>
      </c>
      <c r="D360" s="14">
        <f>D361</f>
        <v>99</v>
      </c>
      <c r="E360" s="14">
        <f t="shared" si="142"/>
        <v>0</v>
      </c>
      <c r="F360" s="14">
        <f t="shared" si="142"/>
        <v>0</v>
      </c>
    </row>
    <row r="361" spans="1:6">
      <c r="A361" s="108">
        <v>3320620030</v>
      </c>
      <c r="B361" s="108">
        <v>610</v>
      </c>
      <c r="C361" s="107" t="s">
        <v>104</v>
      </c>
      <c r="D361" s="14">
        <f>' № 5  рп, кцср, квр'!E412</f>
        <v>99</v>
      </c>
      <c r="E361" s="14">
        <f>' № 5  рп, кцср, квр'!F412</f>
        <v>0</v>
      </c>
      <c r="F361" s="14">
        <f>' № 5  рп, кцср, квр'!G412</f>
        <v>0</v>
      </c>
    </row>
    <row r="362" spans="1:6" ht="31.5">
      <c r="A362" s="108">
        <v>3320700000</v>
      </c>
      <c r="B362" s="108"/>
      <c r="C362" s="52" t="s">
        <v>476</v>
      </c>
      <c r="D362" s="14">
        <f>D363</f>
        <v>105.3</v>
      </c>
      <c r="E362" s="14">
        <f t="shared" ref="E362:F364" si="143">E363</f>
        <v>0</v>
      </c>
      <c r="F362" s="14">
        <f t="shared" si="143"/>
        <v>0</v>
      </c>
    </row>
    <row r="363" spans="1:6">
      <c r="A363" s="108">
        <v>3320720040</v>
      </c>
      <c r="B363" s="108"/>
      <c r="C363" s="52" t="s">
        <v>221</v>
      </c>
      <c r="D363" s="14">
        <f>D364</f>
        <v>105.3</v>
      </c>
      <c r="E363" s="14">
        <f t="shared" si="143"/>
        <v>0</v>
      </c>
      <c r="F363" s="14">
        <f t="shared" si="143"/>
        <v>0</v>
      </c>
    </row>
    <row r="364" spans="1:6" ht="31.5">
      <c r="A364" s="108">
        <v>3320720040</v>
      </c>
      <c r="B364" s="108" t="s">
        <v>69</v>
      </c>
      <c r="C364" s="107" t="s">
        <v>95</v>
      </c>
      <c r="D364" s="14">
        <f>D365</f>
        <v>105.3</v>
      </c>
      <c r="E364" s="14">
        <f t="shared" si="143"/>
        <v>0</v>
      </c>
      <c r="F364" s="14">
        <f t="shared" si="143"/>
        <v>0</v>
      </c>
    </row>
    <row r="365" spans="1:6" ht="31.5">
      <c r="A365" s="108">
        <v>3320720040</v>
      </c>
      <c r="B365" s="108">
        <v>240</v>
      </c>
      <c r="C365" s="107" t="s">
        <v>216</v>
      </c>
      <c r="D365" s="14">
        <f>' № 5  рп, кцср, квр'!E389</f>
        <v>105.3</v>
      </c>
      <c r="E365" s="14">
        <f>' № 5  рп, кцср, квр'!F389</f>
        <v>0</v>
      </c>
      <c r="F365" s="14">
        <f>' № 5  рп, кцср, квр'!G389</f>
        <v>0</v>
      </c>
    </row>
    <row r="366" spans="1:6" ht="31.5">
      <c r="A366" s="108">
        <v>3330000000</v>
      </c>
      <c r="B366" s="108"/>
      <c r="C366" s="107" t="s">
        <v>263</v>
      </c>
      <c r="D366" s="14">
        <f>D367</f>
        <v>4084.1000000000004</v>
      </c>
      <c r="E366" s="14">
        <f t="shared" ref="E366:F366" si="144">E367</f>
        <v>953.1</v>
      </c>
      <c r="F366" s="14">
        <f t="shared" si="144"/>
        <v>232.5</v>
      </c>
    </row>
    <row r="367" spans="1:6" ht="47.25">
      <c r="A367" s="108">
        <v>3330100000</v>
      </c>
      <c r="B367" s="108"/>
      <c r="C367" s="107" t="s">
        <v>208</v>
      </c>
      <c r="D367" s="99">
        <f>D368+D371</f>
        <v>4084.1000000000004</v>
      </c>
      <c r="E367" s="99">
        <f t="shared" ref="E367:F367" si="145">E368+E371</f>
        <v>953.1</v>
      </c>
      <c r="F367" s="99">
        <f t="shared" si="145"/>
        <v>232.5</v>
      </c>
    </row>
    <row r="368" spans="1:6">
      <c r="A368" s="108">
        <v>3330120090</v>
      </c>
      <c r="B368" s="108"/>
      <c r="C368" s="107" t="s">
        <v>261</v>
      </c>
      <c r="D368" s="99">
        <f>D369</f>
        <v>1426.2</v>
      </c>
      <c r="E368" s="99">
        <f t="shared" ref="E368:F369" si="146">E369</f>
        <v>455.5</v>
      </c>
      <c r="F368" s="99">
        <f t="shared" si="146"/>
        <v>0</v>
      </c>
    </row>
    <row r="369" spans="1:6" ht="31.5">
      <c r="A369" s="108">
        <v>3330120090</v>
      </c>
      <c r="B369" s="108" t="s">
        <v>69</v>
      </c>
      <c r="C369" s="107" t="s">
        <v>95</v>
      </c>
      <c r="D369" s="99">
        <f>D370</f>
        <v>1426.2</v>
      </c>
      <c r="E369" s="99">
        <f t="shared" si="146"/>
        <v>455.5</v>
      </c>
      <c r="F369" s="99">
        <f t="shared" si="146"/>
        <v>0</v>
      </c>
    </row>
    <row r="370" spans="1:6" ht="31.5">
      <c r="A370" s="108">
        <v>3330120090</v>
      </c>
      <c r="B370" s="108">
        <v>240</v>
      </c>
      <c r="C370" s="107" t="s">
        <v>216</v>
      </c>
      <c r="D370" s="99">
        <f>' № 5  рп, кцср, квр'!E394</f>
        <v>1426.2</v>
      </c>
      <c r="E370" s="99">
        <f>' № 5  рп, кцср, квр'!F394</f>
        <v>455.5</v>
      </c>
      <c r="F370" s="99">
        <f>' № 5  рп, кцср, квр'!G394</f>
        <v>0</v>
      </c>
    </row>
    <row r="371" spans="1:6">
      <c r="A371" s="108">
        <v>3330120100</v>
      </c>
      <c r="B371" s="50"/>
      <c r="C371" s="22" t="s">
        <v>262</v>
      </c>
      <c r="D371" s="99">
        <f>D372</f>
        <v>2657.9</v>
      </c>
      <c r="E371" s="99">
        <f t="shared" ref="E371:F372" si="147">E372</f>
        <v>497.6</v>
      </c>
      <c r="F371" s="99">
        <f t="shared" si="147"/>
        <v>232.5</v>
      </c>
    </row>
    <row r="372" spans="1:6" ht="31.5">
      <c r="A372" s="108">
        <v>3330120100</v>
      </c>
      <c r="B372" s="108" t="s">
        <v>69</v>
      </c>
      <c r="C372" s="107" t="s">
        <v>95</v>
      </c>
      <c r="D372" s="99">
        <f>D373</f>
        <v>2657.9</v>
      </c>
      <c r="E372" s="99">
        <f t="shared" si="147"/>
        <v>497.6</v>
      </c>
      <c r="F372" s="99">
        <f t="shared" si="147"/>
        <v>232.5</v>
      </c>
    </row>
    <row r="373" spans="1:6" ht="31.5">
      <c r="A373" s="108">
        <v>3330120100</v>
      </c>
      <c r="B373" s="108">
        <v>240</v>
      </c>
      <c r="C373" s="107" t="s">
        <v>216</v>
      </c>
      <c r="D373" s="99">
        <f>' № 5  рп, кцср, квр'!E397</f>
        <v>2657.9</v>
      </c>
      <c r="E373" s="99">
        <f>' № 5  рп, кцср, квр'!F397</f>
        <v>497.6</v>
      </c>
      <c r="F373" s="99">
        <f>' № 5  рп, кцср, квр'!G397</f>
        <v>232.5</v>
      </c>
    </row>
    <row r="374" spans="1:6" ht="47.25">
      <c r="A374" s="19">
        <v>3400000000</v>
      </c>
      <c r="B374" s="108"/>
      <c r="C374" s="24" t="s">
        <v>332</v>
      </c>
      <c r="D374" s="98">
        <f>D375+D400+D415</f>
        <v>191542.29999999996</v>
      </c>
      <c r="E374" s="98">
        <f>E375+E400+E415</f>
        <v>141794.50000000003</v>
      </c>
      <c r="F374" s="98">
        <f>F375+F400+F415</f>
        <v>124728.1</v>
      </c>
    </row>
    <row r="375" spans="1:6">
      <c r="A375" s="108">
        <v>3410000000</v>
      </c>
      <c r="B375" s="108"/>
      <c r="C375" s="107" t="s">
        <v>124</v>
      </c>
      <c r="D375" s="99">
        <f>D376+D380+D390</f>
        <v>180162.89999999997</v>
      </c>
      <c r="E375" s="99">
        <f t="shared" ref="E375:F375" si="148">E376+E380+E390</f>
        <v>131752.40000000002</v>
      </c>
      <c r="F375" s="99">
        <f t="shared" si="148"/>
        <v>121044.3</v>
      </c>
    </row>
    <row r="376" spans="1:6">
      <c r="A376" s="108">
        <v>3410100000</v>
      </c>
      <c r="B376" s="30"/>
      <c r="C376" s="107" t="s">
        <v>173</v>
      </c>
      <c r="D376" s="99">
        <f>D377</f>
        <v>66577.7</v>
      </c>
      <c r="E376" s="99">
        <f t="shared" ref="E376:F376" si="149">E377</f>
        <v>50050.3</v>
      </c>
      <c r="F376" s="99">
        <f t="shared" si="149"/>
        <v>36074.1</v>
      </c>
    </row>
    <row r="377" spans="1:6" ht="31.5">
      <c r="A377" s="108" t="s">
        <v>333</v>
      </c>
      <c r="B377" s="108"/>
      <c r="C377" s="107" t="s">
        <v>125</v>
      </c>
      <c r="D377" s="99">
        <f>D378</f>
        <v>66577.7</v>
      </c>
      <c r="E377" s="99">
        <f t="shared" ref="E377:F378" si="150">E378</f>
        <v>50050.3</v>
      </c>
      <c r="F377" s="99">
        <f t="shared" si="150"/>
        <v>36074.1</v>
      </c>
    </row>
    <row r="378" spans="1:6" ht="31.5">
      <c r="A378" s="108" t="s">
        <v>333</v>
      </c>
      <c r="B378" s="108" t="s">
        <v>69</v>
      </c>
      <c r="C378" s="107" t="s">
        <v>95</v>
      </c>
      <c r="D378" s="99">
        <f>D379</f>
        <v>66577.7</v>
      </c>
      <c r="E378" s="99">
        <f t="shared" si="150"/>
        <v>50050.3</v>
      </c>
      <c r="F378" s="99">
        <f t="shared" si="150"/>
        <v>36074.1</v>
      </c>
    </row>
    <row r="379" spans="1:6" ht="31.5">
      <c r="A379" s="108" t="s">
        <v>333</v>
      </c>
      <c r="B379" s="108">
        <v>240</v>
      </c>
      <c r="C379" s="107" t="s">
        <v>216</v>
      </c>
      <c r="D379" s="99">
        <f>' № 5  рп, кцср, квр'!E226</f>
        <v>66577.7</v>
      </c>
      <c r="E379" s="99">
        <f>' № 5  рп, кцср, квр'!F226</f>
        <v>50050.3</v>
      </c>
      <c r="F379" s="99">
        <f>' № 5  рп, кцср, квр'!G226</f>
        <v>36074.1</v>
      </c>
    </row>
    <row r="380" spans="1:6" ht="47.25">
      <c r="A380" s="108">
        <v>3410200000</v>
      </c>
      <c r="B380" s="108"/>
      <c r="C380" s="107" t="s">
        <v>174</v>
      </c>
      <c r="D380" s="99">
        <f>D381+D384+D387</f>
        <v>76445.899999999994</v>
      </c>
      <c r="E380" s="99">
        <f t="shared" ref="E380:F380" si="151">E381+E384+E387</f>
        <v>64275.9</v>
      </c>
      <c r="F380" s="99">
        <f t="shared" si="151"/>
        <v>66846.899999999994</v>
      </c>
    </row>
    <row r="381" spans="1:6">
      <c r="A381" s="108" t="s">
        <v>334</v>
      </c>
      <c r="B381" s="108"/>
      <c r="C381" s="30" t="s">
        <v>222</v>
      </c>
      <c r="D381" s="99">
        <f>D382</f>
        <v>10546.800000000001</v>
      </c>
      <c r="E381" s="99">
        <f t="shared" ref="E381:F382" si="152">E382</f>
        <v>0</v>
      </c>
      <c r="F381" s="99">
        <f t="shared" si="152"/>
        <v>0</v>
      </c>
    </row>
    <row r="382" spans="1:6" ht="31.5">
      <c r="A382" s="108" t="s">
        <v>334</v>
      </c>
      <c r="B382" s="108" t="s">
        <v>69</v>
      </c>
      <c r="C382" s="30" t="s">
        <v>95</v>
      </c>
      <c r="D382" s="99">
        <f>D383</f>
        <v>10546.800000000001</v>
      </c>
      <c r="E382" s="99">
        <f t="shared" si="152"/>
        <v>0</v>
      </c>
      <c r="F382" s="99">
        <f t="shared" si="152"/>
        <v>0</v>
      </c>
    </row>
    <row r="383" spans="1:6" ht="31.5">
      <c r="A383" s="108" t="s">
        <v>334</v>
      </c>
      <c r="B383" s="108">
        <v>240</v>
      </c>
      <c r="C383" s="30" t="s">
        <v>216</v>
      </c>
      <c r="D383" s="99">
        <f>' № 5  рп, кцср, квр'!E230</f>
        <v>10546.800000000001</v>
      </c>
      <c r="E383" s="99">
        <f>' № 5  рп, кцср, квр'!F230</f>
        <v>0</v>
      </c>
      <c r="F383" s="99">
        <f>' № 5  рп, кцср, квр'!G230</f>
        <v>0</v>
      </c>
    </row>
    <row r="384" spans="1:6">
      <c r="A384" s="108" t="s">
        <v>336</v>
      </c>
      <c r="B384" s="108"/>
      <c r="C384" s="107" t="s">
        <v>308</v>
      </c>
      <c r="D384" s="99">
        <f>D385</f>
        <v>61803.799999999996</v>
      </c>
      <c r="E384" s="99">
        <f t="shared" ref="E384:F385" si="153">E385</f>
        <v>64275.9</v>
      </c>
      <c r="F384" s="99">
        <f t="shared" si="153"/>
        <v>66846.899999999994</v>
      </c>
    </row>
    <row r="385" spans="1:6" ht="31.5">
      <c r="A385" s="108" t="s">
        <v>336</v>
      </c>
      <c r="B385" s="108" t="s">
        <v>69</v>
      </c>
      <c r="C385" s="107" t="s">
        <v>95</v>
      </c>
      <c r="D385" s="99">
        <f>D386</f>
        <v>61803.799999999996</v>
      </c>
      <c r="E385" s="99">
        <f t="shared" si="153"/>
        <v>64275.9</v>
      </c>
      <c r="F385" s="99">
        <f t="shared" si="153"/>
        <v>66846.899999999994</v>
      </c>
    </row>
    <row r="386" spans="1:6" ht="31.5">
      <c r="A386" s="108" t="s">
        <v>336</v>
      </c>
      <c r="B386" s="108">
        <v>240</v>
      </c>
      <c r="C386" s="107" t="s">
        <v>216</v>
      </c>
      <c r="D386" s="99">
        <f>' № 5  рп, кцср, квр'!E233</f>
        <v>61803.799999999996</v>
      </c>
      <c r="E386" s="99">
        <f>' № 5  рп, кцср, квр'!F233</f>
        <v>64275.9</v>
      </c>
      <c r="F386" s="99">
        <f>' № 5  рп, кцср, квр'!G233</f>
        <v>66846.899999999994</v>
      </c>
    </row>
    <row r="387" spans="1:6" ht="31.5">
      <c r="A387" s="108" t="s">
        <v>335</v>
      </c>
      <c r="B387" s="108"/>
      <c r="C387" s="107" t="s">
        <v>386</v>
      </c>
      <c r="D387" s="99">
        <f>D388</f>
        <v>4095.2999999999993</v>
      </c>
      <c r="E387" s="99">
        <f t="shared" ref="E387:F388" si="154">E388</f>
        <v>0</v>
      </c>
      <c r="F387" s="99">
        <f t="shared" si="154"/>
        <v>0</v>
      </c>
    </row>
    <row r="388" spans="1:6" ht="31.5">
      <c r="A388" s="108" t="s">
        <v>335</v>
      </c>
      <c r="B388" s="108" t="s">
        <v>69</v>
      </c>
      <c r="C388" s="107" t="s">
        <v>95</v>
      </c>
      <c r="D388" s="99">
        <f>D389</f>
        <v>4095.2999999999993</v>
      </c>
      <c r="E388" s="99">
        <f t="shared" si="154"/>
        <v>0</v>
      </c>
      <c r="F388" s="99">
        <f t="shared" si="154"/>
        <v>0</v>
      </c>
    </row>
    <row r="389" spans="1:6" ht="31.5">
      <c r="A389" s="108" t="s">
        <v>335</v>
      </c>
      <c r="B389" s="108">
        <v>240</v>
      </c>
      <c r="C389" s="107" t="s">
        <v>216</v>
      </c>
      <c r="D389" s="99">
        <f>' № 5  рп, кцср, квр'!E236</f>
        <v>4095.2999999999993</v>
      </c>
      <c r="E389" s="99">
        <f>' № 5  рп, кцср, квр'!F236</f>
        <v>0</v>
      </c>
      <c r="F389" s="99">
        <f>' № 5  рп, кцср, квр'!G236</f>
        <v>0</v>
      </c>
    </row>
    <row r="390" spans="1:6" ht="47.25">
      <c r="A390" s="108">
        <v>3410300000</v>
      </c>
      <c r="B390" s="108"/>
      <c r="C390" s="107" t="s">
        <v>223</v>
      </c>
      <c r="D390" s="99">
        <f>D394+D397+D391</f>
        <v>37139.300000000003</v>
      </c>
      <c r="E390" s="99">
        <f t="shared" ref="E390:F390" si="155">E394+E397+E391</f>
        <v>17426.2</v>
      </c>
      <c r="F390" s="99">
        <f t="shared" si="155"/>
        <v>18123.3</v>
      </c>
    </row>
    <row r="391" spans="1:6">
      <c r="A391" s="108" t="s">
        <v>439</v>
      </c>
      <c r="B391" s="108"/>
      <c r="C391" s="30" t="s">
        <v>222</v>
      </c>
      <c r="D391" s="99">
        <f>D392</f>
        <v>75.5</v>
      </c>
      <c r="E391" s="99">
        <f t="shared" ref="E391:F392" si="156">E392</f>
        <v>0</v>
      </c>
      <c r="F391" s="99">
        <f t="shared" si="156"/>
        <v>0</v>
      </c>
    </row>
    <row r="392" spans="1:6" ht="31.5">
      <c r="A392" s="108" t="s">
        <v>439</v>
      </c>
      <c r="B392" s="108" t="s">
        <v>69</v>
      </c>
      <c r="C392" s="30" t="s">
        <v>95</v>
      </c>
      <c r="D392" s="99">
        <f>D393</f>
        <v>75.5</v>
      </c>
      <c r="E392" s="99">
        <f t="shared" si="156"/>
        <v>0</v>
      </c>
      <c r="F392" s="99">
        <f t="shared" si="156"/>
        <v>0</v>
      </c>
    </row>
    <row r="393" spans="1:6" ht="31.5">
      <c r="A393" s="108" t="s">
        <v>439</v>
      </c>
      <c r="B393" s="108">
        <v>240</v>
      </c>
      <c r="C393" s="30" t="s">
        <v>216</v>
      </c>
      <c r="D393" s="99">
        <f>' № 5  рп, кцср, квр'!E240</f>
        <v>75.5</v>
      </c>
      <c r="E393" s="99">
        <f>' № 5  рп, кцср, квр'!F240</f>
        <v>0</v>
      </c>
      <c r="F393" s="99">
        <f>' № 5  рп, кцср, квр'!G240</f>
        <v>0</v>
      </c>
    </row>
    <row r="394" spans="1:6" ht="31.5">
      <c r="A394" s="108" t="s">
        <v>338</v>
      </c>
      <c r="B394" s="108"/>
      <c r="C394" s="107" t="s">
        <v>307</v>
      </c>
      <c r="D394" s="99">
        <f>D395</f>
        <v>36705.200000000004</v>
      </c>
      <c r="E394" s="99">
        <f t="shared" ref="E394:F395" si="157">E395</f>
        <v>17426.2</v>
      </c>
      <c r="F394" s="99">
        <f t="shared" si="157"/>
        <v>18123.3</v>
      </c>
    </row>
    <row r="395" spans="1:6" ht="31.5">
      <c r="A395" s="108" t="s">
        <v>338</v>
      </c>
      <c r="B395" s="108" t="s">
        <v>69</v>
      </c>
      <c r="C395" s="107" t="s">
        <v>95</v>
      </c>
      <c r="D395" s="99">
        <f>D396</f>
        <v>36705.200000000004</v>
      </c>
      <c r="E395" s="99">
        <f t="shared" si="157"/>
        <v>17426.2</v>
      </c>
      <c r="F395" s="99">
        <f t="shared" si="157"/>
        <v>18123.3</v>
      </c>
    </row>
    <row r="396" spans="1:6" ht="31.5">
      <c r="A396" s="108" t="s">
        <v>338</v>
      </c>
      <c r="B396" s="108">
        <v>240</v>
      </c>
      <c r="C396" s="107" t="s">
        <v>216</v>
      </c>
      <c r="D396" s="99">
        <f>' № 5  рп, кцср, квр'!E243</f>
        <v>36705.200000000004</v>
      </c>
      <c r="E396" s="99">
        <f>' № 5  рп, кцср, квр'!F243</f>
        <v>17426.2</v>
      </c>
      <c r="F396" s="99">
        <f>' № 5  рп, кцср, квр'!G243</f>
        <v>18123.3</v>
      </c>
    </row>
    <row r="397" spans="1:6" ht="47.25">
      <c r="A397" s="108" t="s">
        <v>337</v>
      </c>
      <c r="B397" s="108"/>
      <c r="C397" s="107" t="s">
        <v>387</v>
      </c>
      <c r="D397" s="99">
        <f>D398</f>
        <v>358.6</v>
      </c>
      <c r="E397" s="99">
        <f t="shared" ref="E397:F398" si="158">E398</f>
        <v>0</v>
      </c>
      <c r="F397" s="99">
        <f t="shared" si="158"/>
        <v>0</v>
      </c>
    </row>
    <row r="398" spans="1:6" ht="31.5">
      <c r="A398" s="108" t="s">
        <v>337</v>
      </c>
      <c r="B398" s="108" t="s">
        <v>69</v>
      </c>
      <c r="C398" s="30" t="s">
        <v>95</v>
      </c>
      <c r="D398" s="99">
        <f>D399</f>
        <v>358.6</v>
      </c>
      <c r="E398" s="99">
        <f t="shared" si="158"/>
        <v>0</v>
      </c>
      <c r="F398" s="99">
        <f t="shared" si="158"/>
        <v>0</v>
      </c>
    </row>
    <row r="399" spans="1:6" ht="31.5">
      <c r="A399" s="108" t="s">
        <v>337</v>
      </c>
      <c r="B399" s="108">
        <v>240</v>
      </c>
      <c r="C399" s="30" t="s">
        <v>216</v>
      </c>
      <c r="D399" s="99">
        <f>' № 5  рп, кцср, квр'!E246</f>
        <v>358.6</v>
      </c>
      <c r="E399" s="99">
        <f>' № 5  рп, кцср, квр'!F246</f>
        <v>0</v>
      </c>
      <c r="F399" s="99">
        <f>' № 5  рп, кцср, квр'!G246</f>
        <v>0</v>
      </c>
    </row>
    <row r="400" spans="1:6">
      <c r="A400" s="108">
        <v>3420000000</v>
      </c>
      <c r="B400" s="108"/>
      <c r="C400" s="107" t="s">
        <v>126</v>
      </c>
      <c r="D400" s="99">
        <f>D401+D405</f>
        <v>7646.7999999999993</v>
      </c>
      <c r="E400" s="99">
        <f t="shared" ref="E400:F400" si="159">E401+E405</f>
        <v>3542.1000000000004</v>
      </c>
      <c r="F400" s="99">
        <f t="shared" si="159"/>
        <v>3683.8</v>
      </c>
    </row>
    <row r="401" spans="1:6" ht="31.5">
      <c r="A401" s="108">
        <v>3420100000</v>
      </c>
      <c r="B401" s="108"/>
      <c r="C401" s="107" t="s">
        <v>175</v>
      </c>
      <c r="D401" s="99">
        <f>D402</f>
        <v>1967.1</v>
      </c>
      <c r="E401" s="99">
        <f t="shared" ref="E401:F403" si="160">E402</f>
        <v>0</v>
      </c>
      <c r="F401" s="99">
        <f t="shared" si="160"/>
        <v>0</v>
      </c>
    </row>
    <row r="402" spans="1:6">
      <c r="A402" s="108" t="s">
        <v>339</v>
      </c>
      <c r="B402" s="108"/>
      <c r="C402" s="107" t="s">
        <v>127</v>
      </c>
      <c r="D402" s="99">
        <f>D403</f>
        <v>1967.1</v>
      </c>
      <c r="E402" s="99">
        <f t="shared" si="160"/>
        <v>0</v>
      </c>
      <c r="F402" s="99">
        <f t="shared" si="160"/>
        <v>0</v>
      </c>
    </row>
    <row r="403" spans="1:6" ht="31.5">
      <c r="A403" s="108" t="s">
        <v>339</v>
      </c>
      <c r="B403" s="108" t="s">
        <v>69</v>
      </c>
      <c r="C403" s="107" t="s">
        <v>95</v>
      </c>
      <c r="D403" s="99">
        <f>D404</f>
        <v>1967.1</v>
      </c>
      <c r="E403" s="99">
        <f t="shared" si="160"/>
        <v>0</v>
      </c>
      <c r="F403" s="99">
        <f t="shared" si="160"/>
        <v>0</v>
      </c>
    </row>
    <row r="404" spans="1:6" ht="31.5">
      <c r="A404" s="108" t="s">
        <v>339</v>
      </c>
      <c r="B404" s="108">
        <v>240</v>
      </c>
      <c r="C404" s="107" t="s">
        <v>216</v>
      </c>
      <c r="D404" s="99">
        <f>' № 5  рп, кцср, квр'!E251</f>
        <v>1967.1</v>
      </c>
      <c r="E404" s="99">
        <f>' № 5  рп, кцср, квр'!F251</f>
        <v>0</v>
      </c>
      <c r="F404" s="99">
        <f>' № 5  рп, кцср, квр'!G251</f>
        <v>0</v>
      </c>
    </row>
    <row r="405" spans="1:6" ht="47.25">
      <c r="A405" s="108">
        <v>3420300000</v>
      </c>
      <c r="B405" s="108"/>
      <c r="C405" s="107" t="s">
        <v>311</v>
      </c>
      <c r="D405" s="99">
        <f>D406+D409+D412</f>
        <v>5679.7</v>
      </c>
      <c r="E405" s="99">
        <f t="shared" ref="E405:F405" si="161">E406+E409+E412</f>
        <v>3542.1000000000004</v>
      </c>
      <c r="F405" s="99">
        <f t="shared" si="161"/>
        <v>3683.8</v>
      </c>
    </row>
    <row r="406" spans="1:6">
      <c r="A406" s="108" t="s">
        <v>389</v>
      </c>
      <c r="B406" s="108"/>
      <c r="C406" s="30" t="s">
        <v>222</v>
      </c>
      <c r="D406" s="99">
        <f>D407</f>
        <v>338.6</v>
      </c>
      <c r="E406" s="99">
        <f t="shared" ref="E406:F407" si="162">E407</f>
        <v>0</v>
      </c>
      <c r="F406" s="99">
        <f t="shared" si="162"/>
        <v>0</v>
      </c>
    </row>
    <row r="407" spans="1:6" ht="31.5">
      <c r="A407" s="108" t="s">
        <v>389</v>
      </c>
      <c r="B407" s="108" t="s">
        <v>69</v>
      </c>
      <c r="C407" s="107" t="s">
        <v>95</v>
      </c>
      <c r="D407" s="99">
        <f>D408</f>
        <v>338.6</v>
      </c>
      <c r="E407" s="99">
        <f t="shared" si="162"/>
        <v>0</v>
      </c>
      <c r="F407" s="99">
        <f t="shared" si="162"/>
        <v>0</v>
      </c>
    </row>
    <row r="408" spans="1:6" ht="31.5">
      <c r="A408" s="108" t="s">
        <v>389</v>
      </c>
      <c r="B408" s="108">
        <v>240</v>
      </c>
      <c r="C408" s="107" t="s">
        <v>216</v>
      </c>
      <c r="D408" s="99">
        <f>' № 5  рп, кцср, квр'!E255</f>
        <v>338.6</v>
      </c>
      <c r="E408" s="99">
        <f>' № 5  рп, кцср, квр'!F255</f>
        <v>0</v>
      </c>
      <c r="F408" s="99">
        <f>' № 5  рп, кцср, квр'!G255</f>
        <v>0</v>
      </c>
    </row>
    <row r="409" spans="1:6" ht="47.25">
      <c r="A409" s="108" t="s">
        <v>390</v>
      </c>
      <c r="B409" s="108"/>
      <c r="C409" s="107" t="s">
        <v>305</v>
      </c>
      <c r="D409" s="99">
        <f>D410</f>
        <v>3405.9</v>
      </c>
      <c r="E409" s="99">
        <f t="shared" ref="E409:F410" si="163">E410</f>
        <v>3542.1000000000004</v>
      </c>
      <c r="F409" s="99">
        <f t="shared" si="163"/>
        <v>3683.8</v>
      </c>
    </row>
    <row r="410" spans="1:6" ht="31.5">
      <c r="A410" s="108" t="s">
        <v>390</v>
      </c>
      <c r="B410" s="108" t="s">
        <v>69</v>
      </c>
      <c r="C410" s="107" t="s">
        <v>95</v>
      </c>
      <c r="D410" s="99">
        <f>D411</f>
        <v>3405.9</v>
      </c>
      <c r="E410" s="99">
        <f t="shared" si="163"/>
        <v>3542.1000000000004</v>
      </c>
      <c r="F410" s="99">
        <f t="shared" si="163"/>
        <v>3683.8</v>
      </c>
    </row>
    <row r="411" spans="1:6" ht="31.5">
      <c r="A411" s="108" t="s">
        <v>390</v>
      </c>
      <c r="B411" s="108">
        <v>240</v>
      </c>
      <c r="C411" s="107" t="s">
        <v>216</v>
      </c>
      <c r="D411" s="99">
        <f>' № 5  рп, кцср, квр'!E258</f>
        <v>3405.9</v>
      </c>
      <c r="E411" s="99">
        <f>' № 5  рп, кцср, квр'!F258</f>
        <v>3542.1000000000004</v>
      </c>
      <c r="F411" s="99">
        <f>' № 5  рп, кцср, квр'!G258</f>
        <v>3683.8</v>
      </c>
    </row>
    <row r="412" spans="1:6" ht="47.25">
      <c r="A412" s="108" t="s">
        <v>391</v>
      </c>
      <c r="B412" s="108"/>
      <c r="C412" s="30" t="s">
        <v>388</v>
      </c>
      <c r="D412" s="99">
        <f>D413</f>
        <v>1935.2</v>
      </c>
      <c r="E412" s="99">
        <f t="shared" ref="E412:F413" si="164">E413</f>
        <v>0</v>
      </c>
      <c r="F412" s="99">
        <f t="shared" si="164"/>
        <v>0</v>
      </c>
    </row>
    <row r="413" spans="1:6" ht="31.5">
      <c r="A413" s="108" t="s">
        <v>391</v>
      </c>
      <c r="B413" s="108" t="s">
        <v>69</v>
      </c>
      <c r="C413" s="107" t="s">
        <v>95</v>
      </c>
      <c r="D413" s="99">
        <f>D414</f>
        <v>1935.2</v>
      </c>
      <c r="E413" s="99">
        <f t="shared" si="164"/>
        <v>0</v>
      </c>
      <c r="F413" s="99">
        <f t="shared" si="164"/>
        <v>0</v>
      </c>
    </row>
    <row r="414" spans="1:6" ht="31.5">
      <c r="A414" s="108" t="s">
        <v>391</v>
      </c>
      <c r="B414" s="108">
        <v>240</v>
      </c>
      <c r="C414" s="107" t="s">
        <v>216</v>
      </c>
      <c r="D414" s="99">
        <f>' № 5  рп, кцср, квр'!E261</f>
        <v>1935.2</v>
      </c>
      <c r="E414" s="99">
        <f>' № 5  рп, кцср, квр'!F261</f>
        <v>0</v>
      </c>
      <c r="F414" s="99">
        <f>' № 5  рп, кцср, квр'!G261</f>
        <v>0</v>
      </c>
    </row>
    <row r="415" spans="1:6">
      <c r="A415" s="108">
        <v>3430000000</v>
      </c>
      <c r="B415" s="108"/>
      <c r="C415" s="5" t="s">
        <v>266</v>
      </c>
      <c r="D415" s="99">
        <f>D422+D416</f>
        <v>3732.6000000000004</v>
      </c>
      <c r="E415" s="99">
        <f>E422+E416</f>
        <v>6500</v>
      </c>
      <c r="F415" s="99">
        <f>F422+F416</f>
        <v>0</v>
      </c>
    </row>
    <row r="416" spans="1:6" ht="31.5">
      <c r="A416" s="108">
        <v>3430100000</v>
      </c>
      <c r="B416" s="108"/>
      <c r="C416" s="33" t="s">
        <v>480</v>
      </c>
      <c r="D416" s="99">
        <f>D417+D420</f>
        <v>2208.6000000000004</v>
      </c>
      <c r="E416" s="99">
        <f t="shared" ref="E416:F416" si="165">E417+E420</f>
        <v>6500</v>
      </c>
      <c r="F416" s="99">
        <f t="shared" si="165"/>
        <v>0</v>
      </c>
    </row>
    <row r="417" spans="1:6">
      <c r="A417" s="108">
        <v>3430120110</v>
      </c>
      <c r="B417" s="108"/>
      <c r="C417" s="5" t="s">
        <v>481</v>
      </c>
      <c r="D417" s="99">
        <f>D418</f>
        <v>813.3</v>
      </c>
      <c r="E417" s="99">
        <f t="shared" ref="E417:F418" si="166">E418</f>
        <v>0</v>
      </c>
      <c r="F417" s="99">
        <f t="shared" si="166"/>
        <v>0</v>
      </c>
    </row>
    <row r="418" spans="1:6" ht="31.5">
      <c r="A418" s="108">
        <v>3430120110</v>
      </c>
      <c r="B418" s="108" t="s">
        <v>69</v>
      </c>
      <c r="C418" s="107" t="s">
        <v>95</v>
      </c>
      <c r="D418" s="99">
        <f>D419</f>
        <v>813.3</v>
      </c>
      <c r="E418" s="99">
        <f t="shared" si="166"/>
        <v>0</v>
      </c>
      <c r="F418" s="99">
        <f t="shared" si="166"/>
        <v>0</v>
      </c>
    </row>
    <row r="419" spans="1:6" ht="31.5">
      <c r="A419" s="108">
        <v>3430120110</v>
      </c>
      <c r="B419" s="108">
        <v>240</v>
      </c>
      <c r="C419" s="107" t="s">
        <v>216</v>
      </c>
      <c r="D419" s="99">
        <f>' № 5  рп, кцср, квр'!E293</f>
        <v>813.3</v>
      </c>
      <c r="E419" s="99">
        <f>' № 5  рп, кцср, квр'!F293</f>
        <v>0</v>
      </c>
      <c r="F419" s="99">
        <f>' № 5  рп, кцср, квр'!G293</f>
        <v>0</v>
      </c>
    </row>
    <row r="420" spans="1:6" ht="31.5">
      <c r="A420" s="108">
        <v>3430120110</v>
      </c>
      <c r="B420" s="108" t="s">
        <v>72</v>
      </c>
      <c r="C420" s="30" t="s">
        <v>96</v>
      </c>
      <c r="D420" s="99">
        <f>D421</f>
        <v>1395.3000000000002</v>
      </c>
      <c r="E420" s="99">
        <f t="shared" ref="E420:F420" si="167">E421</f>
        <v>6500</v>
      </c>
      <c r="F420" s="99">
        <f t="shared" si="167"/>
        <v>0</v>
      </c>
    </row>
    <row r="421" spans="1:6">
      <c r="A421" s="108">
        <v>3430120110</v>
      </c>
      <c r="B421" s="108" t="s">
        <v>119</v>
      </c>
      <c r="C421" s="30" t="s">
        <v>120</v>
      </c>
      <c r="D421" s="99">
        <f>' № 5  рп, кцср, квр'!E295</f>
        <v>1395.3000000000002</v>
      </c>
      <c r="E421" s="99">
        <f>' № 5  рп, кцср, квр'!F295</f>
        <v>6500</v>
      </c>
      <c r="F421" s="99">
        <f>' № 5  рп, кцср, квр'!G295</f>
        <v>0</v>
      </c>
    </row>
    <row r="422" spans="1:6" ht="31.5">
      <c r="A422" s="108">
        <v>3430200000</v>
      </c>
      <c r="B422" s="108"/>
      <c r="C422" s="30" t="s">
        <v>405</v>
      </c>
      <c r="D422" s="99">
        <f>D423</f>
        <v>1524</v>
      </c>
      <c r="E422" s="99">
        <f t="shared" ref="E422:F424" si="168">E423</f>
        <v>0</v>
      </c>
      <c r="F422" s="99">
        <f t="shared" si="168"/>
        <v>0</v>
      </c>
    </row>
    <row r="423" spans="1:6" ht="31.5">
      <c r="A423" s="108">
        <v>3430220110</v>
      </c>
      <c r="B423" s="108"/>
      <c r="C423" s="30" t="s">
        <v>399</v>
      </c>
      <c r="D423" s="99">
        <f>D424</f>
        <v>1524</v>
      </c>
      <c r="E423" s="99">
        <f t="shared" si="168"/>
        <v>0</v>
      </c>
      <c r="F423" s="99">
        <f t="shared" si="168"/>
        <v>0</v>
      </c>
    </row>
    <row r="424" spans="1:6" ht="31.5">
      <c r="A424" s="108">
        <v>3430220110</v>
      </c>
      <c r="B424" s="108" t="s">
        <v>69</v>
      </c>
      <c r="C424" s="107" t="s">
        <v>95</v>
      </c>
      <c r="D424" s="99">
        <f>D425</f>
        <v>1524</v>
      </c>
      <c r="E424" s="99">
        <f t="shared" si="168"/>
        <v>0</v>
      </c>
      <c r="F424" s="99">
        <f t="shared" si="168"/>
        <v>0</v>
      </c>
    </row>
    <row r="425" spans="1:6" ht="31.5">
      <c r="A425" s="108">
        <v>3430220110</v>
      </c>
      <c r="B425" s="108">
        <v>240</v>
      </c>
      <c r="C425" s="107" t="s">
        <v>216</v>
      </c>
      <c r="D425" s="14">
        <f>' № 5  рп, кцср, квр'!E299</f>
        <v>1524</v>
      </c>
      <c r="E425" s="14">
        <f>' № 5  рп, кцср, квр'!F299</f>
        <v>0</v>
      </c>
      <c r="F425" s="14">
        <f>' № 5  рп, кцср, квр'!G299</f>
        <v>0</v>
      </c>
    </row>
    <row r="426" spans="1:6" ht="31.5">
      <c r="A426" s="19">
        <v>3500000000</v>
      </c>
      <c r="B426" s="19"/>
      <c r="C426" s="24" t="s">
        <v>330</v>
      </c>
      <c r="D426" s="98">
        <f>D427+D440</f>
        <v>44532.5</v>
      </c>
      <c r="E426" s="98">
        <f t="shared" ref="E426:F426" si="169">E427+E440</f>
        <v>30837.199999999997</v>
      </c>
      <c r="F426" s="98">
        <f t="shared" si="169"/>
        <v>31305.1</v>
      </c>
    </row>
    <row r="427" spans="1:6">
      <c r="A427" s="108">
        <v>3510000000</v>
      </c>
      <c r="B427" s="108"/>
      <c r="C427" s="107" t="s">
        <v>150</v>
      </c>
      <c r="D427" s="99">
        <f>D428+D436+D432</f>
        <v>13398.1</v>
      </c>
      <c r="E427" s="99">
        <f t="shared" ref="E427:F427" si="170">E428+E436+E432</f>
        <v>13403.800000000001</v>
      </c>
      <c r="F427" s="99">
        <f t="shared" si="170"/>
        <v>13871.7</v>
      </c>
    </row>
    <row r="428" spans="1:6" ht="47.25">
      <c r="A428" s="108">
        <v>3510100000</v>
      </c>
      <c r="B428" s="108"/>
      <c r="C428" s="107" t="s">
        <v>172</v>
      </c>
      <c r="D428" s="99">
        <f>D429</f>
        <v>13303.5</v>
      </c>
      <c r="E428" s="99">
        <f t="shared" ref="E428:F430" si="171">E429</f>
        <v>13309.2</v>
      </c>
      <c r="F428" s="99">
        <f t="shared" si="171"/>
        <v>13777.1</v>
      </c>
    </row>
    <row r="429" spans="1:6" ht="31.5">
      <c r="A429" s="108">
        <v>3510120010</v>
      </c>
      <c r="B429" s="108"/>
      <c r="C429" s="107" t="s">
        <v>123</v>
      </c>
      <c r="D429" s="99">
        <f>D430</f>
        <v>13303.5</v>
      </c>
      <c r="E429" s="99">
        <f t="shared" si="171"/>
        <v>13309.2</v>
      </c>
      <c r="F429" s="99">
        <f t="shared" si="171"/>
        <v>13777.1</v>
      </c>
    </row>
    <row r="430" spans="1:6" ht="31.5">
      <c r="A430" s="108">
        <v>3510120010</v>
      </c>
      <c r="B430" s="108">
        <v>600</v>
      </c>
      <c r="C430" s="107" t="s">
        <v>83</v>
      </c>
      <c r="D430" s="99">
        <f>D431</f>
        <v>13303.5</v>
      </c>
      <c r="E430" s="99">
        <f t="shared" si="171"/>
        <v>13309.2</v>
      </c>
      <c r="F430" s="99">
        <f t="shared" si="171"/>
        <v>13777.1</v>
      </c>
    </row>
    <row r="431" spans="1:6">
      <c r="A431" s="108">
        <v>3510120010</v>
      </c>
      <c r="B431" s="108">
        <v>610</v>
      </c>
      <c r="C431" s="107" t="s">
        <v>104</v>
      </c>
      <c r="D431" s="99">
        <f>' № 5  рп, кцср, квр'!E209</f>
        <v>13303.5</v>
      </c>
      <c r="E431" s="99">
        <f>' № 5  рп, кцср, квр'!F209</f>
        <v>13309.2</v>
      </c>
      <c r="F431" s="99">
        <f>' № 5  рп, кцср, квр'!G209</f>
        <v>13777.1</v>
      </c>
    </row>
    <row r="432" spans="1:6" ht="47.25">
      <c r="A432" s="108">
        <v>3510200000</v>
      </c>
      <c r="B432" s="108"/>
      <c r="C432" s="107" t="s">
        <v>170</v>
      </c>
      <c r="D432" s="99">
        <f>D433</f>
        <v>42.4</v>
      </c>
      <c r="E432" s="99">
        <f t="shared" ref="E432:F434" si="172">E433</f>
        <v>42.4</v>
      </c>
      <c r="F432" s="99">
        <f t="shared" si="172"/>
        <v>42.4</v>
      </c>
    </row>
    <row r="433" spans="1:6" ht="31.5">
      <c r="A433" s="108">
        <v>3510220170</v>
      </c>
      <c r="B433" s="108"/>
      <c r="C433" s="107" t="s">
        <v>171</v>
      </c>
      <c r="D433" s="99">
        <f>D434</f>
        <v>42.4</v>
      </c>
      <c r="E433" s="99">
        <f t="shared" si="172"/>
        <v>42.4</v>
      </c>
      <c r="F433" s="99">
        <f t="shared" si="172"/>
        <v>42.4</v>
      </c>
    </row>
    <row r="434" spans="1:6" ht="63">
      <c r="A434" s="108">
        <v>3510220170</v>
      </c>
      <c r="B434" s="108" t="s">
        <v>68</v>
      </c>
      <c r="C434" s="107" t="s">
        <v>1</v>
      </c>
      <c r="D434" s="99">
        <f>D435</f>
        <v>42.4</v>
      </c>
      <c r="E434" s="99">
        <f t="shared" si="172"/>
        <v>42.4</v>
      </c>
      <c r="F434" s="99">
        <f t="shared" si="172"/>
        <v>42.4</v>
      </c>
    </row>
    <row r="435" spans="1:6" ht="31.5">
      <c r="A435" s="108">
        <v>3510220170</v>
      </c>
      <c r="B435" s="108">
        <v>120</v>
      </c>
      <c r="C435" s="107" t="s">
        <v>217</v>
      </c>
      <c r="D435" s="99">
        <f>' № 5  рп, кцср, квр'!E123</f>
        <v>42.4</v>
      </c>
      <c r="E435" s="99">
        <f>' № 5  рп, кцср, квр'!F123</f>
        <v>42.4</v>
      </c>
      <c r="F435" s="99">
        <f>' № 5  рп, кцср, квр'!G123</f>
        <v>42.4</v>
      </c>
    </row>
    <row r="436" spans="1:6" ht="31.5">
      <c r="A436" s="108">
        <v>3510300000</v>
      </c>
      <c r="B436" s="108"/>
      <c r="C436" s="107" t="s">
        <v>283</v>
      </c>
      <c r="D436" s="99">
        <f>D437</f>
        <v>52.2</v>
      </c>
      <c r="E436" s="99">
        <f t="shared" ref="E436:F438" si="173">E437</f>
        <v>52.2</v>
      </c>
      <c r="F436" s="99">
        <f t="shared" si="173"/>
        <v>52.2</v>
      </c>
    </row>
    <row r="437" spans="1:6">
      <c r="A437" s="108">
        <v>3510320300</v>
      </c>
      <c r="B437" s="108"/>
      <c r="C437" s="107" t="s">
        <v>284</v>
      </c>
      <c r="D437" s="99">
        <f>D438</f>
        <v>52.2</v>
      </c>
      <c r="E437" s="99">
        <f t="shared" si="173"/>
        <v>52.2</v>
      </c>
      <c r="F437" s="99">
        <f t="shared" si="173"/>
        <v>52.2</v>
      </c>
    </row>
    <row r="438" spans="1:6" ht="31.5">
      <c r="A438" s="108">
        <v>3510320300</v>
      </c>
      <c r="B438" s="108" t="s">
        <v>69</v>
      </c>
      <c r="C438" s="107" t="s">
        <v>95</v>
      </c>
      <c r="D438" s="99">
        <f>D439</f>
        <v>52.2</v>
      </c>
      <c r="E438" s="99">
        <f t="shared" si="173"/>
        <v>52.2</v>
      </c>
      <c r="F438" s="99">
        <f t="shared" si="173"/>
        <v>52.2</v>
      </c>
    </row>
    <row r="439" spans="1:6" ht="31.5">
      <c r="A439" s="108">
        <v>3510320300</v>
      </c>
      <c r="B439" s="108">
        <v>240</v>
      </c>
      <c r="C439" s="107" t="s">
        <v>216</v>
      </c>
      <c r="D439" s="99">
        <f>' № 5  рп, кцср, квр'!E213</f>
        <v>52.2</v>
      </c>
      <c r="E439" s="99">
        <f>' № 5  рп, кцср, квр'!F213</f>
        <v>52.2</v>
      </c>
      <c r="F439" s="99">
        <f>' № 5  рп, кцср, квр'!G213</f>
        <v>52.2</v>
      </c>
    </row>
    <row r="440" spans="1:6" ht="31.5">
      <c r="A440" s="108">
        <v>3520000000</v>
      </c>
      <c r="B440" s="108"/>
      <c r="C440" s="30" t="s">
        <v>228</v>
      </c>
      <c r="D440" s="99">
        <f>D441+D448+D457+D463+D469</f>
        <v>31134.400000000001</v>
      </c>
      <c r="E440" s="99">
        <f t="shared" ref="E440:F440" si="174">E441+E448+E457+E463+E469</f>
        <v>17433.399999999998</v>
      </c>
      <c r="F440" s="99">
        <f t="shared" si="174"/>
        <v>17433.399999999998</v>
      </c>
    </row>
    <row r="441" spans="1:6" ht="63">
      <c r="A441" s="108">
        <v>3520100000</v>
      </c>
      <c r="B441" s="108"/>
      <c r="C441" s="30" t="s">
        <v>274</v>
      </c>
      <c r="D441" s="99">
        <f>D445+D442</f>
        <v>2975.3</v>
      </c>
      <c r="E441" s="99">
        <f t="shared" ref="E441:F441" si="175">E445+E442</f>
        <v>0</v>
      </c>
      <c r="F441" s="99">
        <f t="shared" si="175"/>
        <v>0</v>
      </c>
    </row>
    <row r="442" spans="1:6" ht="31.5">
      <c r="A442" s="108">
        <v>3520120180</v>
      </c>
      <c r="B442" s="108"/>
      <c r="C442" s="30" t="s">
        <v>805</v>
      </c>
      <c r="D442" s="99">
        <f>D443</f>
        <v>595.79999999999995</v>
      </c>
      <c r="E442" s="99">
        <f t="shared" ref="E442:F443" si="176">E443</f>
        <v>0</v>
      </c>
      <c r="F442" s="99">
        <f t="shared" si="176"/>
        <v>0</v>
      </c>
    </row>
    <row r="443" spans="1:6" ht="31.5">
      <c r="A443" s="108">
        <v>3520120180</v>
      </c>
      <c r="B443" s="50" t="s">
        <v>97</v>
      </c>
      <c r="C443" s="107" t="s">
        <v>98</v>
      </c>
      <c r="D443" s="99">
        <f>D444</f>
        <v>595.79999999999995</v>
      </c>
      <c r="E443" s="99">
        <f t="shared" si="176"/>
        <v>0</v>
      </c>
      <c r="F443" s="99">
        <f t="shared" si="176"/>
        <v>0</v>
      </c>
    </row>
    <row r="444" spans="1:6">
      <c r="A444" s="108">
        <v>3520120180</v>
      </c>
      <c r="B444" s="50">
        <v>610</v>
      </c>
      <c r="C444" s="107" t="s">
        <v>104</v>
      </c>
      <c r="D444" s="99">
        <f>' № 5  рп, кцср, квр'!E871</f>
        <v>595.79999999999995</v>
      </c>
      <c r="E444" s="99">
        <f>' № 5  рп, кцср, квр'!F871</f>
        <v>0</v>
      </c>
      <c r="F444" s="99">
        <f>' № 5  рп, кцср, квр'!G871</f>
        <v>0</v>
      </c>
    </row>
    <row r="445" spans="1:6" ht="31.5">
      <c r="A445" s="7" t="s">
        <v>385</v>
      </c>
      <c r="B445" s="108"/>
      <c r="C445" s="22" t="s">
        <v>394</v>
      </c>
      <c r="D445" s="99">
        <f>D446</f>
        <v>2379.5</v>
      </c>
      <c r="E445" s="99">
        <f t="shared" ref="E445:F446" si="177">E446</f>
        <v>0</v>
      </c>
      <c r="F445" s="99">
        <f t="shared" si="177"/>
        <v>0</v>
      </c>
    </row>
    <row r="446" spans="1:6" ht="31.5">
      <c r="A446" s="7" t="s">
        <v>385</v>
      </c>
      <c r="B446" s="108" t="s">
        <v>69</v>
      </c>
      <c r="C446" s="107" t="s">
        <v>95</v>
      </c>
      <c r="D446" s="99">
        <f>D447</f>
        <v>2379.5</v>
      </c>
      <c r="E446" s="99">
        <f t="shared" si="177"/>
        <v>0</v>
      </c>
      <c r="F446" s="99">
        <f t="shared" si="177"/>
        <v>0</v>
      </c>
    </row>
    <row r="447" spans="1:6" ht="31.5">
      <c r="A447" s="7" t="s">
        <v>385</v>
      </c>
      <c r="B447" s="108">
        <v>240</v>
      </c>
      <c r="C447" s="107" t="s">
        <v>216</v>
      </c>
      <c r="D447" s="99">
        <f>' № 5  рп, кцср, квр'!E473</f>
        <v>2379.5</v>
      </c>
      <c r="E447" s="99">
        <f>' № 5  рп, кцср, квр'!F473</f>
        <v>0</v>
      </c>
      <c r="F447" s="99">
        <f>' № 5  рп, кцср, квр'!G473</f>
        <v>0</v>
      </c>
    </row>
    <row r="448" spans="1:6" ht="47.25">
      <c r="A448" s="108">
        <v>3520200000</v>
      </c>
      <c r="B448" s="108"/>
      <c r="C448" s="107" t="s">
        <v>260</v>
      </c>
      <c r="D448" s="99">
        <f>D449+D454</f>
        <v>9800.5000000000018</v>
      </c>
      <c r="E448" s="99">
        <f t="shared" ref="E448:F448" si="178">E449+E454</f>
        <v>0</v>
      </c>
      <c r="F448" s="99">
        <f t="shared" si="178"/>
        <v>0</v>
      </c>
    </row>
    <row r="449" spans="1:6">
      <c r="A449" s="108">
        <v>3520220190</v>
      </c>
      <c r="B449" s="108"/>
      <c r="C449" s="107" t="s">
        <v>285</v>
      </c>
      <c r="D449" s="99">
        <f>D452+D450</f>
        <v>4318.1000000000004</v>
      </c>
      <c r="E449" s="99">
        <f t="shared" ref="E449:F449" si="179">E452+E450</f>
        <v>0</v>
      </c>
      <c r="F449" s="99">
        <f t="shared" si="179"/>
        <v>0</v>
      </c>
    </row>
    <row r="450" spans="1:6" ht="31.5">
      <c r="A450" s="108">
        <v>3520220190</v>
      </c>
      <c r="B450" s="108" t="s">
        <v>69</v>
      </c>
      <c r="C450" s="107" t="s">
        <v>95</v>
      </c>
      <c r="D450" s="99">
        <f>D451</f>
        <v>3043.9</v>
      </c>
      <c r="E450" s="99">
        <f t="shared" ref="E450:F450" si="180">E451</f>
        <v>0</v>
      </c>
      <c r="F450" s="99">
        <f t="shared" si="180"/>
        <v>0</v>
      </c>
    </row>
    <row r="451" spans="1:6" ht="31.5">
      <c r="A451" s="108">
        <v>3520220190</v>
      </c>
      <c r="B451" s="108">
        <v>240</v>
      </c>
      <c r="C451" s="107" t="s">
        <v>216</v>
      </c>
      <c r="D451" s="99">
        <f>' № 5  рп, кцср, квр'!E477</f>
        <v>3043.9</v>
      </c>
      <c r="E451" s="99">
        <f>' № 5  рп, кцср, квр'!F477</f>
        <v>0</v>
      </c>
      <c r="F451" s="99">
        <f>' № 5  рп, кцср, квр'!G477</f>
        <v>0</v>
      </c>
    </row>
    <row r="452" spans="1:6" ht="31.5">
      <c r="A452" s="108">
        <v>3520220190</v>
      </c>
      <c r="B452" s="108" t="s">
        <v>97</v>
      </c>
      <c r="C452" s="107" t="s">
        <v>98</v>
      </c>
      <c r="D452" s="99">
        <f>D453</f>
        <v>1274.2000000000003</v>
      </c>
      <c r="E452" s="99">
        <f t="shared" ref="E452:F452" si="181">E453</f>
        <v>0</v>
      </c>
      <c r="F452" s="99">
        <f t="shared" si="181"/>
        <v>0</v>
      </c>
    </row>
    <row r="453" spans="1:6">
      <c r="A453" s="108">
        <v>3520220190</v>
      </c>
      <c r="B453" s="108">
        <v>610</v>
      </c>
      <c r="C453" s="107" t="s">
        <v>104</v>
      </c>
      <c r="D453" s="99">
        <f>' № 5  рп, кцср, квр'!E479</f>
        <v>1274.2000000000003</v>
      </c>
      <c r="E453" s="99">
        <f>' № 5  рп, кцср, квр'!F479</f>
        <v>0</v>
      </c>
      <c r="F453" s="99">
        <f>' № 5  рп, кцср, квр'!G479</f>
        <v>0</v>
      </c>
    </row>
    <row r="454" spans="1:6" ht="31.5">
      <c r="A454" s="7" t="s">
        <v>384</v>
      </c>
      <c r="B454" s="108"/>
      <c r="C454" s="107" t="s">
        <v>394</v>
      </c>
      <c r="D454" s="99">
        <f>D455</f>
        <v>5482.4000000000015</v>
      </c>
      <c r="E454" s="99">
        <f t="shared" ref="E454:F455" si="182">E455</f>
        <v>0</v>
      </c>
      <c r="F454" s="99">
        <f t="shared" si="182"/>
        <v>0</v>
      </c>
    </row>
    <row r="455" spans="1:6" ht="31.5">
      <c r="A455" s="7" t="s">
        <v>384</v>
      </c>
      <c r="B455" s="108" t="s">
        <v>69</v>
      </c>
      <c r="C455" s="107" t="s">
        <v>95</v>
      </c>
      <c r="D455" s="99">
        <f>D456</f>
        <v>5482.4000000000015</v>
      </c>
      <c r="E455" s="99">
        <f t="shared" si="182"/>
        <v>0</v>
      </c>
      <c r="F455" s="99">
        <f t="shared" si="182"/>
        <v>0</v>
      </c>
    </row>
    <row r="456" spans="1:6" ht="31.5">
      <c r="A456" s="7" t="s">
        <v>384</v>
      </c>
      <c r="B456" s="108">
        <v>240</v>
      </c>
      <c r="C456" s="107" t="s">
        <v>216</v>
      </c>
      <c r="D456" s="99">
        <f>' № 5  рп, кцср, квр'!E482</f>
        <v>5482.4000000000015</v>
      </c>
      <c r="E456" s="99">
        <f>' № 5  рп, кцср, квр'!F482</f>
        <v>0</v>
      </c>
      <c r="F456" s="99">
        <f>' № 5  рп, кцср, квр'!G482</f>
        <v>0</v>
      </c>
    </row>
    <row r="457" spans="1:6" ht="31.5">
      <c r="A457" s="108">
        <v>3520300000</v>
      </c>
      <c r="B457" s="108"/>
      <c r="C457" s="30" t="s">
        <v>264</v>
      </c>
      <c r="D457" s="99">
        <f>D458</f>
        <v>3466.2000000000003</v>
      </c>
      <c r="E457" s="99">
        <f t="shared" ref="E457:F457" si="183">E458</f>
        <v>2857.5000000000005</v>
      </c>
      <c r="F457" s="99">
        <f t="shared" si="183"/>
        <v>2857.5000000000005</v>
      </c>
    </row>
    <row r="458" spans="1:6">
      <c r="A458" s="108">
        <v>3520320300</v>
      </c>
      <c r="B458" s="108"/>
      <c r="C458" s="30" t="s">
        <v>265</v>
      </c>
      <c r="D458" s="99">
        <f>D459+D461</f>
        <v>3466.2000000000003</v>
      </c>
      <c r="E458" s="99">
        <f t="shared" ref="E458:F458" si="184">E459+E461</f>
        <v>2857.5000000000005</v>
      </c>
      <c r="F458" s="99">
        <f t="shared" si="184"/>
        <v>2857.5000000000005</v>
      </c>
    </row>
    <row r="459" spans="1:6" ht="31.5">
      <c r="A459" s="108">
        <v>3520320300</v>
      </c>
      <c r="B459" s="108" t="s">
        <v>69</v>
      </c>
      <c r="C459" s="107" t="s">
        <v>95</v>
      </c>
      <c r="D459" s="99">
        <f>D460</f>
        <v>104.4</v>
      </c>
      <c r="E459" s="99">
        <f t="shared" ref="E459:F459" si="185">E460</f>
        <v>104.4</v>
      </c>
      <c r="F459" s="99">
        <f t="shared" si="185"/>
        <v>104.4</v>
      </c>
    </row>
    <row r="460" spans="1:6" ht="31.5">
      <c r="A460" s="108">
        <v>3520320300</v>
      </c>
      <c r="B460" s="108">
        <v>240</v>
      </c>
      <c r="C460" s="107" t="s">
        <v>216</v>
      </c>
      <c r="D460" s="99">
        <f>' № 5  рп, кцср, квр'!E128</f>
        <v>104.4</v>
      </c>
      <c r="E460" s="99">
        <f>' № 5  рп, кцср, квр'!F128</f>
        <v>104.4</v>
      </c>
      <c r="F460" s="99">
        <f>' № 5  рп, кцср, квр'!G128</f>
        <v>104.4</v>
      </c>
    </row>
    <row r="461" spans="1:6" ht="31.5">
      <c r="A461" s="108">
        <v>3520320300</v>
      </c>
      <c r="B461" s="108">
        <v>600</v>
      </c>
      <c r="C461" s="107" t="s">
        <v>83</v>
      </c>
      <c r="D461" s="99">
        <f>D462</f>
        <v>3361.8</v>
      </c>
      <c r="E461" s="99">
        <f t="shared" ref="E461:F461" si="186">E462</f>
        <v>2753.1000000000004</v>
      </c>
      <c r="F461" s="99">
        <f t="shared" si="186"/>
        <v>2753.1000000000004</v>
      </c>
    </row>
    <row r="462" spans="1:6">
      <c r="A462" s="108">
        <v>3520320300</v>
      </c>
      <c r="B462" s="108">
        <v>610</v>
      </c>
      <c r="C462" s="107" t="s">
        <v>104</v>
      </c>
      <c r="D462" s="99">
        <f>' № 5  рп, кцср, квр'!E418+' № 5  рп, кцср, квр'!E486+' № 5  рп, кцср, квр'!E579+' № 5  рп, кцср, квр'!E625+' № 5  рп, кцср, квр'!E741+' № 5  рп, кцср, квр'!E835+' № 5  рп, кцср, квр'!E875</f>
        <v>3361.8</v>
      </c>
      <c r="E462" s="99">
        <f>' № 5  рп, кцср, квр'!F418+' № 5  рп, кцср, квр'!F486+' № 5  рп, кцср, квр'!F579+' № 5  рп, кцср, квр'!F625+' № 5  рп, кцср, квр'!F741+' № 5  рп, кцср, квр'!F835+' № 5  рп, кцср, квр'!F875</f>
        <v>2753.1000000000004</v>
      </c>
      <c r="F462" s="99">
        <f>' № 5  рп, кцср, квр'!G418+' № 5  рп, кцср, квр'!G486+' № 5  рп, кцср, квр'!G579+' № 5  рп, кцср, квр'!G625+' № 5  рп, кцср, квр'!G741+' № 5  рп, кцср, квр'!G835+' № 5  рп, кцср, квр'!G875</f>
        <v>2753.1000000000004</v>
      </c>
    </row>
    <row r="463" spans="1:6" ht="31.5">
      <c r="A463" s="108">
        <v>3520400000</v>
      </c>
      <c r="B463" s="108"/>
      <c r="C463" s="107" t="s">
        <v>270</v>
      </c>
      <c r="D463" s="99">
        <f>D464</f>
        <v>3462.3000000000011</v>
      </c>
      <c r="E463" s="99">
        <f t="shared" ref="E463:F467" si="187">E464</f>
        <v>3003.1</v>
      </c>
      <c r="F463" s="99">
        <f t="shared" si="187"/>
        <v>3003.1</v>
      </c>
    </row>
    <row r="464" spans="1:6">
      <c r="A464" s="108">
        <v>3520420300</v>
      </c>
      <c r="B464" s="108"/>
      <c r="C464" s="107" t="s">
        <v>271</v>
      </c>
      <c r="D464" s="99">
        <f>D467+D465</f>
        <v>3462.3000000000011</v>
      </c>
      <c r="E464" s="99">
        <f t="shared" ref="E464:F464" si="188">E467+E465</f>
        <v>3003.1</v>
      </c>
      <c r="F464" s="99">
        <f t="shared" si="188"/>
        <v>3003.1</v>
      </c>
    </row>
    <row r="465" spans="1:6" ht="31.5">
      <c r="A465" s="108">
        <v>3520420300</v>
      </c>
      <c r="B465" s="108" t="s">
        <v>69</v>
      </c>
      <c r="C465" s="107" t="s">
        <v>95</v>
      </c>
      <c r="D465" s="99">
        <f>D466</f>
        <v>139.4</v>
      </c>
      <c r="E465" s="99">
        <f t="shared" ref="E465:F465" si="189">E466</f>
        <v>139.4</v>
      </c>
      <c r="F465" s="99">
        <f t="shared" si="189"/>
        <v>139.4</v>
      </c>
    </row>
    <row r="466" spans="1:6" ht="31.5">
      <c r="A466" s="108">
        <v>3520420300</v>
      </c>
      <c r="B466" s="108">
        <v>240</v>
      </c>
      <c r="C466" s="107" t="s">
        <v>216</v>
      </c>
      <c r="D466" s="99">
        <f>' № 5  рп, кцср, квр'!E132</f>
        <v>139.4</v>
      </c>
      <c r="E466" s="99">
        <f>' № 5  рп, кцср, квр'!F132</f>
        <v>139.4</v>
      </c>
      <c r="F466" s="99">
        <f>' № 5  рп, кцср, квр'!G132</f>
        <v>139.4</v>
      </c>
    </row>
    <row r="467" spans="1:6" ht="31.5">
      <c r="A467" s="108">
        <v>3520420300</v>
      </c>
      <c r="B467" s="108">
        <v>600</v>
      </c>
      <c r="C467" s="107" t="s">
        <v>83</v>
      </c>
      <c r="D467" s="99">
        <f>D468</f>
        <v>3322.900000000001</v>
      </c>
      <c r="E467" s="99">
        <f t="shared" si="187"/>
        <v>2863.7</v>
      </c>
      <c r="F467" s="99">
        <f t="shared" si="187"/>
        <v>2863.7</v>
      </c>
    </row>
    <row r="468" spans="1:6">
      <c r="A468" s="108">
        <v>3520420300</v>
      </c>
      <c r="B468" s="108">
        <v>610</v>
      </c>
      <c r="C468" s="107" t="s">
        <v>104</v>
      </c>
      <c r="D468" s="99">
        <f>' № 5  рп, кцср, квр'!E218+' № 5  рп, кцср, квр'!E422+' № 5  рп, кцср, квр'!E490+' № 5  рп, кцср, квр'!E583+' № 5  рп, кцср, квр'!E629+' № 5  рп, кцср, квр'!E745+' № 5  рп, кцср, квр'!E839+' № 5  рп, кцср, квр'!E879</f>
        <v>3322.900000000001</v>
      </c>
      <c r="E468" s="99">
        <f>' № 5  рп, кцср, квр'!F218+' № 5  рп, кцср, квр'!F422+' № 5  рп, кцср, квр'!F490+' № 5  рп, кцср, квр'!F583+' № 5  рп, кцср, квр'!F629+' № 5  рп, кцср, квр'!F745+' № 5  рп, кцср, квр'!F839+' № 5  рп, кцср, квр'!F879</f>
        <v>2863.7</v>
      </c>
      <c r="F468" s="99">
        <f>' № 5  рп, кцср, квр'!G218+' № 5  рп, кцср, квр'!G422+' № 5  рп, кцср, квр'!G490+' № 5  рп, кцср, квр'!G583+' № 5  рп, кцср, квр'!G629+' № 5  рп, кцср, квр'!G745+' № 5  рп, кцср, квр'!G839+' № 5  рп, кцср, квр'!G879</f>
        <v>2863.7</v>
      </c>
    </row>
    <row r="469" spans="1:6" ht="31.5">
      <c r="A469" s="108">
        <v>3520500000</v>
      </c>
      <c r="B469" s="108"/>
      <c r="C469" s="107" t="s">
        <v>269</v>
      </c>
      <c r="D469" s="99">
        <f>D470</f>
        <v>11430.1</v>
      </c>
      <c r="E469" s="99">
        <f t="shared" ref="E469:F471" si="190">E470</f>
        <v>11572.799999999997</v>
      </c>
      <c r="F469" s="99">
        <f t="shared" si="190"/>
        <v>11572.799999999997</v>
      </c>
    </row>
    <row r="470" spans="1:6">
      <c r="A470" s="108">
        <v>3520520200</v>
      </c>
      <c r="B470" s="108"/>
      <c r="C470" s="107" t="s">
        <v>252</v>
      </c>
      <c r="D470" s="99">
        <f>D471+D473</f>
        <v>11430.1</v>
      </c>
      <c r="E470" s="99">
        <f t="shared" ref="E470:F470" si="191">E471+E473</f>
        <v>11572.799999999997</v>
      </c>
      <c r="F470" s="99">
        <f t="shared" si="191"/>
        <v>11572.799999999997</v>
      </c>
    </row>
    <row r="471" spans="1:6" ht="31.5">
      <c r="A471" s="108">
        <v>3520520200</v>
      </c>
      <c r="B471" s="108" t="s">
        <v>69</v>
      </c>
      <c r="C471" s="107" t="s">
        <v>95</v>
      </c>
      <c r="D471" s="99">
        <f>D472</f>
        <v>1474.9</v>
      </c>
      <c r="E471" s="99">
        <f t="shared" si="190"/>
        <v>1474.9</v>
      </c>
      <c r="F471" s="99">
        <f t="shared" si="190"/>
        <v>1474.9</v>
      </c>
    </row>
    <row r="472" spans="1:6" ht="31.5">
      <c r="A472" s="108">
        <v>3520520200</v>
      </c>
      <c r="B472" s="108">
        <v>240</v>
      </c>
      <c r="C472" s="107" t="s">
        <v>216</v>
      </c>
      <c r="D472" s="99">
        <f>' № 5  рп, кцср, квр'!E136</f>
        <v>1474.9</v>
      </c>
      <c r="E472" s="99">
        <f>' № 5  рп, кцср, квр'!F136</f>
        <v>1474.9</v>
      </c>
      <c r="F472" s="99">
        <f>' № 5  рп, кцср, квр'!G136</f>
        <v>1474.9</v>
      </c>
    </row>
    <row r="473" spans="1:6" ht="31.5">
      <c r="A473" s="108">
        <v>3520520200</v>
      </c>
      <c r="B473" s="108">
        <v>600</v>
      </c>
      <c r="C473" s="107" t="s">
        <v>83</v>
      </c>
      <c r="D473" s="99">
        <f>D474</f>
        <v>9955.2000000000007</v>
      </c>
      <c r="E473" s="99">
        <f t="shared" ref="E473:F473" si="192">E474</f>
        <v>10097.899999999998</v>
      </c>
      <c r="F473" s="99">
        <f t="shared" si="192"/>
        <v>10097.899999999998</v>
      </c>
    </row>
    <row r="474" spans="1:6">
      <c r="A474" s="108">
        <v>3520520200</v>
      </c>
      <c r="B474" s="108">
        <v>610</v>
      </c>
      <c r="C474" s="107" t="s">
        <v>104</v>
      </c>
      <c r="D474" s="99">
        <f>' № 5  рп, кцср, квр'!E424+' № 5  рп, кцср, квр'!E494+' № 5  рп, кцср, квр'!E587+' № 5  рп, кцср, квр'!E633+' № 5  рп, кцср, квр'!E749+' № 5  рп, кцср, квр'!E843+' № 5  рп, кцср, квр'!E883</f>
        <v>9955.2000000000007</v>
      </c>
      <c r="E474" s="99">
        <f>' № 5  рп, кцср, квр'!F424+' № 5  рп, кцср, квр'!F494+' № 5  рп, кцср, квр'!F587+' № 5  рп, кцср, квр'!F633+' № 5  рп, кцср, квр'!F749+' № 5  рп, кцср, квр'!F843+' № 5  рп, кцср, квр'!F883</f>
        <v>10097.899999999998</v>
      </c>
      <c r="F474" s="99">
        <f>' № 5  рп, кцср, квр'!G424+' № 5  рп, кцср, квр'!G494+' № 5  рп, кцср, квр'!G587+' № 5  рп, кцср, квр'!G633+' № 5  рп, кцср, квр'!G749+' № 5  рп, кцср, квр'!G843+' № 5  рп, кцср, квр'!G883</f>
        <v>10097.899999999998</v>
      </c>
    </row>
    <row r="475" spans="1:6" ht="47.25">
      <c r="A475" s="19">
        <v>3600000000</v>
      </c>
      <c r="B475" s="108"/>
      <c r="C475" s="24" t="s">
        <v>331</v>
      </c>
      <c r="D475" s="98">
        <f>D476+D500+D512+D521</f>
        <v>35921.200000000004</v>
      </c>
      <c r="E475" s="98">
        <f>E476+E500+E512+E521</f>
        <v>11701.6</v>
      </c>
      <c r="F475" s="98">
        <f>F476+F500+F512+F521</f>
        <v>6179.7000000000007</v>
      </c>
    </row>
    <row r="476" spans="1:6" ht="31.5">
      <c r="A476" s="108">
        <v>3610000000</v>
      </c>
      <c r="B476" s="108"/>
      <c r="C476" s="107" t="s">
        <v>107</v>
      </c>
      <c r="D476" s="99">
        <f>D477+D492+D496</f>
        <v>31778.100000000002</v>
      </c>
      <c r="E476" s="99">
        <f t="shared" ref="E476:F476" si="193">E477+E492+E496</f>
        <v>11675.1</v>
      </c>
      <c r="F476" s="99">
        <f t="shared" si="193"/>
        <v>6153.2000000000007</v>
      </c>
    </row>
    <row r="477" spans="1:6">
      <c r="A477" s="108">
        <v>3610100000</v>
      </c>
      <c r="B477" s="108"/>
      <c r="C477" s="107" t="s">
        <v>108</v>
      </c>
      <c r="D477" s="99">
        <f>D478+D483+D486+D489</f>
        <v>11289.1</v>
      </c>
      <c r="E477" s="99">
        <f t="shared" ref="E477:F477" si="194">E478+E483+E486+E489</f>
        <v>6153.2000000000007</v>
      </c>
      <c r="F477" s="99">
        <f t="shared" si="194"/>
        <v>6153.2000000000007</v>
      </c>
    </row>
    <row r="478" spans="1:6">
      <c r="A478" s="108">
        <v>3610120210</v>
      </c>
      <c r="B478" s="108"/>
      <c r="C478" s="107" t="s">
        <v>109</v>
      </c>
      <c r="D478" s="99">
        <f>D479+D481</f>
        <v>6955.2</v>
      </c>
      <c r="E478" s="99">
        <f t="shared" ref="E478:F478" si="195">E479+E481</f>
        <v>2403.3000000000002</v>
      </c>
      <c r="F478" s="99">
        <f t="shared" si="195"/>
        <v>2403.3000000000002</v>
      </c>
    </row>
    <row r="479" spans="1:6" ht="31.5">
      <c r="A479" s="108">
        <v>3610120210</v>
      </c>
      <c r="B479" s="108" t="s">
        <v>69</v>
      </c>
      <c r="C479" s="107" t="s">
        <v>95</v>
      </c>
      <c r="D479" s="99">
        <f>D480</f>
        <v>6895.2</v>
      </c>
      <c r="E479" s="99">
        <f t="shared" ref="E479:F479" si="196">E480</f>
        <v>2403.3000000000002</v>
      </c>
      <c r="F479" s="99">
        <f t="shared" si="196"/>
        <v>2403.3000000000002</v>
      </c>
    </row>
    <row r="480" spans="1:6" ht="31.5">
      <c r="A480" s="108">
        <v>3610120210</v>
      </c>
      <c r="B480" s="108">
        <v>240</v>
      </c>
      <c r="C480" s="107" t="s">
        <v>216</v>
      </c>
      <c r="D480" s="99">
        <f>' № 5  рп, кцср, квр'!E142</f>
        <v>6895.2</v>
      </c>
      <c r="E480" s="99">
        <f>' № 5  рп, кцср, квр'!F142</f>
        <v>2403.3000000000002</v>
      </c>
      <c r="F480" s="99">
        <f>' № 5  рп, кцср, квр'!G142</f>
        <v>2403.3000000000002</v>
      </c>
    </row>
    <row r="481" spans="1:6">
      <c r="A481" s="108">
        <v>3610120210</v>
      </c>
      <c r="B481" s="8" t="s">
        <v>70</v>
      </c>
      <c r="C481" s="22" t="s">
        <v>71</v>
      </c>
      <c r="D481" s="99">
        <f>D482</f>
        <v>60</v>
      </c>
      <c r="E481" s="99">
        <f t="shared" ref="E481:F481" si="197">E482</f>
        <v>0</v>
      </c>
      <c r="F481" s="99">
        <f t="shared" si="197"/>
        <v>0</v>
      </c>
    </row>
    <row r="482" spans="1:6">
      <c r="A482" s="108">
        <v>3610120210</v>
      </c>
      <c r="B482" s="108">
        <v>850</v>
      </c>
      <c r="C482" s="107" t="s">
        <v>100</v>
      </c>
      <c r="D482" s="99">
        <f>' № 5  рп, кцср, квр'!E144</f>
        <v>60</v>
      </c>
      <c r="E482" s="99">
        <f>' № 5  рп, кцср, квр'!F144</f>
        <v>0</v>
      </c>
      <c r="F482" s="99">
        <f>' № 5  рп, кцср, квр'!G144</f>
        <v>0</v>
      </c>
    </row>
    <row r="483" spans="1:6" ht="31.5">
      <c r="A483" s="108">
        <v>3610120220</v>
      </c>
      <c r="B483" s="108"/>
      <c r="C483" s="107" t="s">
        <v>106</v>
      </c>
      <c r="D483" s="99">
        <f>D484</f>
        <v>318</v>
      </c>
      <c r="E483" s="99">
        <f t="shared" ref="E483:F484" si="198">E484</f>
        <v>0</v>
      </c>
      <c r="F483" s="99">
        <f t="shared" si="198"/>
        <v>0</v>
      </c>
    </row>
    <row r="484" spans="1:6" ht="31.5">
      <c r="A484" s="108">
        <v>3610120220</v>
      </c>
      <c r="B484" s="108" t="s">
        <v>69</v>
      </c>
      <c r="C484" s="107" t="s">
        <v>95</v>
      </c>
      <c r="D484" s="99">
        <f>D485</f>
        <v>318</v>
      </c>
      <c r="E484" s="99">
        <f t="shared" si="198"/>
        <v>0</v>
      </c>
      <c r="F484" s="99">
        <f t="shared" si="198"/>
        <v>0</v>
      </c>
    </row>
    <row r="485" spans="1:6" ht="31.5">
      <c r="A485" s="108">
        <v>3610120220</v>
      </c>
      <c r="B485" s="108">
        <v>240</v>
      </c>
      <c r="C485" s="107" t="s">
        <v>216</v>
      </c>
      <c r="D485" s="99">
        <f>' № 5  рп, кцср, квр'!E147</f>
        <v>318</v>
      </c>
      <c r="E485" s="99">
        <f>' № 5  рп, кцср, квр'!F147</f>
        <v>0</v>
      </c>
      <c r="F485" s="99">
        <f>' № 5  рп, кцср, квр'!G147</f>
        <v>0</v>
      </c>
    </row>
    <row r="486" spans="1:6" ht="47.25">
      <c r="A486" s="108">
        <v>3610120230</v>
      </c>
      <c r="B486" s="108"/>
      <c r="C486" s="107" t="s">
        <v>113</v>
      </c>
      <c r="D486" s="99">
        <f>D487</f>
        <v>3749.9</v>
      </c>
      <c r="E486" s="99">
        <f t="shared" ref="E486:F487" si="199">E487</f>
        <v>3749.9</v>
      </c>
      <c r="F486" s="99">
        <f t="shared" si="199"/>
        <v>3749.9</v>
      </c>
    </row>
    <row r="487" spans="1:6" ht="31.5">
      <c r="A487" s="108">
        <v>3610120230</v>
      </c>
      <c r="B487" s="108" t="s">
        <v>69</v>
      </c>
      <c r="C487" s="107" t="s">
        <v>95</v>
      </c>
      <c r="D487" s="99">
        <f>D488</f>
        <v>3749.9</v>
      </c>
      <c r="E487" s="99">
        <f t="shared" si="199"/>
        <v>3749.9</v>
      </c>
      <c r="F487" s="99">
        <f t="shared" si="199"/>
        <v>3749.9</v>
      </c>
    </row>
    <row r="488" spans="1:6" ht="31.5">
      <c r="A488" s="108">
        <v>3610120230</v>
      </c>
      <c r="B488" s="108">
        <v>240</v>
      </c>
      <c r="C488" s="107" t="s">
        <v>216</v>
      </c>
      <c r="D488" s="99">
        <f>' № 5  рп, кцср, квр'!E286</f>
        <v>3749.9</v>
      </c>
      <c r="E488" s="99">
        <f>' № 5  рп, кцср, квр'!F286</f>
        <v>3749.9</v>
      </c>
      <c r="F488" s="99">
        <f>' № 5  рп, кцср, квр'!G286</f>
        <v>3749.9</v>
      </c>
    </row>
    <row r="489" spans="1:6" ht="31.5">
      <c r="A489" s="108">
        <v>3610120240</v>
      </c>
      <c r="B489" s="108"/>
      <c r="C489" s="107" t="s">
        <v>111</v>
      </c>
      <c r="D489" s="99">
        <f>D490</f>
        <v>266</v>
      </c>
      <c r="E489" s="99">
        <f t="shared" ref="E489:F490" si="200">E490</f>
        <v>0</v>
      </c>
      <c r="F489" s="99">
        <f t="shared" si="200"/>
        <v>0</v>
      </c>
    </row>
    <row r="490" spans="1:6" ht="31.5">
      <c r="A490" s="108">
        <v>3610120240</v>
      </c>
      <c r="B490" s="108" t="s">
        <v>69</v>
      </c>
      <c r="C490" s="107" t="s">
        <v>95</v>
      </c>
      <c r="D490" s="99">
        <f>D491</f>
        <v>266</v>
      </c>
      <c r="E490" s="99">
        <f t="shared" si="200"/>
        <v>0</v>
      </c>
      <c r="F490" s="99">
        <f t="shared" si="200"/>
        <v>0</v>
      </c>
    </row>
    <row r="491" spans="1:6" ht="31.5">
      <c r="A491" s="108">
        <v>3610120240</v>
      </c>
      <c r="B491" s="108">
        <v>240</v>
      </c>
      <c r="C491" s="107" t="s">
        <v>216</v>
      </c>
      <c r="D491" s="99">
        <f>' № 5  рп, кцср, квр'!E273</f>
        <v>266</v>
      </c>
      <c r="E491" s="99">
        <f>' № 5  рп, кцср, квр'!F273</f>
        <v>0</v>
      </c>
      <c r="F491" s="99">
        <f>' № 5  рп, кцср, квр'!G273</f>
        <v>0</v>
      </c>
    </row>
    <row r="492" spans="1:6">
      <c r="A492" s="108">
        <v>3610200000</v>
      </c>
      <c r="B492" s="108"/>
      <c r="C492" s="107" t="s">
        <v>112</v>
      </c>
      <c r="D492" s="99">
        <f>D493</f>
        <v>11043.7</v>
      </c>
      <c r="E492" s="99">
        <f t="shared" ref="E492:F494" si="201">E493</f>
        <v>5521.9</v>
      </c>
      <c r="F492" s="99">
        <f t="shared" si="201"/>
        <v>0</v>
      </c>
    </row>
    <row r="493" spans="1:6" ht="63">
      <c r="A493" s="108" t="s">
        <v>422</v>
      </c>
      <c r="B493" s="108"/>
      <c r="C493" s="30" t="s">
        <v>421</v>
      </c>
      <c r="D493" s="99">
        <f>D494</f>
        <v>11043.7</v>
      </c>
      <c r="E493" s="99">
        <f t="shared" si="201"/>
        <v>5521.9</v>
      </c>
      <c r="F493" s="99">
        <f t="shared" si="201"/>
        <v>0</v>
      </c>
    </row>
    <row r="494" spans="1:6" ht="31.5">
      <c r="A494" s="108" t="s">
        <v>422</v>
      </c>
      <c r="B494" s="108" t="s">
        <v>72</v>
      </c>
      <c r="C494" s="30" t="s">
        <v>96</v>
      </c>
      <c r="D494" s="99">
        <f>D495</f>
        <v>11043.7</v>
      </c>
      <c r="E494" s="99">
        <f t="shared" si="201"/>
        <v>5521.9</v>
      </c>
      <c r="F494" s="99">
        <f t="shared" si="201"/>
        <v>0</v>
      </c>
    </row>
    <row r="495" spans="1:6">
      <c r="A495" s="108" t="s">
        <v>422</v>
      </c>
      <c r="B495" s="108" t="s">
        <v>119</v>
      </c>
      <c r="C495" s="30" t="s">
        <v>120</v>
      </c>
      <c r="D495" s="99">
        <f>' № 5  рп, кцср, квр'!E793</f>
        <v>11043.7</v>
      </c>
      <c r="E495" s="99">
        <f>' № 5  рп, кцср, квр'!F793</f>
        <v>5521.9</v>
      </c>
      <c r="F495" s="99">
        <f>' № 5  рп, кцср, квр'!G793</f>
        <v>0</v>
      </c>
    </row>
    <row r="496" spans="1:6" ht="31.5">
      <c r="A496" s="108">
        <v>3610300000</v>
      </c>
      <c r="B496" s="108"/>
      <c r="C496" s="30" t="s">
        <v>414</v>
      </c>
      <c r="D496" s="99">
        <f>D497</f>
        <v>9445.2999999999993</v>
      </c>
      <c r="E496" s="99">
        <f t="shared" ref="E496:F498" si="202">E497</f>
        <v>0</v>
      </c>
      <c r="F496" s="99">
        <f t="shared" si="202"/>
        <v>0</v>
      </c>
    </row>
    <row r="497" spans="1:6" ht="31.5">
      <c r="A497" s="108">
        <v>3610320030</v>
      </c>
      <c r="B497" s="108"/>
      <c r="C497" s="33" t="s">
        <v>415</v>
      </c>
      <c r="D497" s="99">
        <f>D498</f>
        <v>9445.2999999999993</v>
      </c>
      <c r="E497" s="99">
        <f t="shared" si="202"/>
        <v>0</v>
      </c>
      <c r="F497" s="99">
        <f t="shared" si="202"/>
        <v>0</v>
      </c>
    </row>
    <row r="498" spans="1:6" ht="31.5">
      <c r="A498" s="108">
        <v>3610320030</v>
      </c>
      <c r="B498" s="108" t="s">
        <v>69</v>
      </c>
      <c r="C498" s="107" t="s">
        <v>95</v>
      </c>
      <c r="D498" s="99">
        <f>D499</f>
        <v>9445.2999999999993</v>
      </c>
      <c r="E498" s="99">
        <f t="shared" si="202"/>
        <v>0</v>
      </c>
      <c r="F498" s="99">
        <f t="shared" si="202"/>
        <v>0</v>
      </c>
    </row>
    <row r="499" spans="1:6" ht="31.5">
      <c r="A499" s="108">
        <v>3610320030</v>
      </c>
      <c r="B499" s="108">
        <v>240</v>
      </c>
      <c r="C499" s="107" t="s">
        <v>216</v>
      </c>
      <c r="D499" s="99">
        <f>' № 5  рп, кцср, квр'!E151</f>
        <v>9445.2999999999993</v>
      </c>
      <c r="E499" s="99">
        <f>' № 5  рп, кцср, квр'!F151</f>
        <v>0</v>
      </c>
      <c r="F499" s="99">
        <f>' № 5  рп, кцср, квр'!G151</f>
        <v>0</v>
      </c>
    </row>
    <row r="500" spans="1:6" ht="47.25">
      <c r="A500" s="108">
        <v>3620000000</v>
      </c>
      <c r="B500" s="108"/>
      <c r="C500" s="107" t="s">
        <v>199</v>
      </c>
      <c r="D500" s="99">
        <f>D501+D508</f>
        <v>3600.1000000000004</v>
      </c>
      <c r="E500" s="99">
        <f t="shared" ref="E500:F500" si="203">E501+E508</f>
        <v>0</v>
      </c>
      <c r="F500" s="99">
        <f t="shared" si="203"/>
        <v>0</v>
      </c>
    </row>
    <row r="501" spans="1:6" ht="47.25">
      <c r="A501" s="108">
        <v>3620100000</v>
      </c>
      <c r="B501" s="108"/>
      <c r="C501" s="107" t="s">
        <v>200</v>
      </c>
      <c r="D501" s="99">
        <f>D502+D505</f>
        <v>3044.9</v>
      </c>
      <c r="E501" s="99">
        <f t="shared" ref="E501:F501" si="204">E502+E505</f>
        <v>0</v>
      </c>
      <c r="F501" s="99">
        <f t="shared" si="204"/>
        <v>0</v>
      </c>
    </row>
    <row r="502" spans="1:6" ht="47.25">
      <c r="A502" s="108">
        <v>3620120180</v>
      </c>
      <c r="B502" s="108"/>
      <c r="C502" s="107" t="s">
        <v>201</v>
      </c>
      <c r="D502" s="99">
        <f>D503</f>
        <v>2171.8000000000002</v>
      </c>
      <c r="E502" s="99">
        <f t="shared" ref="E502:F503" si="205">E503</f>
        <v>0</v>
      </c>
      <c r="F502" s="99">
        <f t="shared" si="205"/>
        <v>0</v>
      </c>
    </row>
    <row r="503" spans="1:6" ht="31.5">
      <c r="A503" s="108">
        <v>3620120180</v>
      </c>
      <c r="B503" s="108" t="s">
        <v>69</v>
      </c>
      <c r="C503" s="107" t="s">
        <v>95</v>
      </c>
      <c r="D503" s="99">
        <f>D504</f>
        <v>2171.8000000000002</v>
      </c>
      <c r="E503" s="99">
        <f t="shared" si="205"/>
        <v>0</v>
      </c>
      <c r="F503" s="99">
        <f t="shared" si="205"/>
        <v>0</v>
      </c>
    </row>
    <row r="504" spans="1:6" ht="31.5">
      <c r="A504" s="108">
        <v>3620120180</v>
      </c>
      <c r="B504" s="108">
        <v>240</v>
      </c>
      <c r="C504" s="107" t="s">
        <v>216</v>
      </c>
      <c r="D504" s="99">
        <f>' № 5  рп, кцср, квр'!E156</f>
        <v>2171.8000000000002</v>
      </c>
      <c r="E504" s="99">
        <f>' № 5  рп, кцср, квр'!F156</f>
        <v>0</v>
      </c>
      <c r="F504" s="99">
        <f>' № 5  рп, кцср, квр'!G156</f>
        <v>0</v>
      </c>
    </row>
    <row r="505" spans="1:6" ht="47.25">
      <c r="A505" s="108">
        <v>3620120520</v>
      </c>
      <c r="B505" s="108"/>
      <c r="C505" s="107" t="s">
        <v>206</v>
      </c>
      <c r="D505" s="99">
        <f>D506</f>
        <v>873.1</v>
      </c>
      <c r="E505" s="99">
        <f t="shared" ref="E505:F506" si="206">E506</f>
        <v>0</v>
      </c>
      <c r="F505" s="99">
        <f t="shared" si="206"/>
        <v>0</v>
      </c>
    </row>
    <row r="506" spans="1:6" ht="31.5">
      <c r="A506" s="108">
        <v>3620120520</v>
      </c>
      <c r="B506" s="108" t="s">
        <v>69</v>
      </c>
      <c r="C506" s="107" t="s">
        <v>95</v>
      </c>
      <c r="D506" s="99">
        <f>D507</f>
        <v>873.1</v>
      </c>
      <c r="E506" s="99">
        <f t="shared" si="206"/>
        <v>0</v>
      </c>
      <c r="F506" s="99">
        <f t="shared" si="206"/>
        <v>0</v>
      </c>
    </row>
    <row r="507" spans="1:6" ht="31.5">
      <c r="A507" s="108">
        <v>3620120520</v>
      </c>
      <c r="B507" s="108">
        <v>240</v>
      </c>
      <c r="C507" s="107" t="s">
        <v>216</v>
      </c>
      <c r="D507" s="99">
        <f>' № 5  рп, кцср, квр'!E159</f>
        <v>873.1</v>
      </c>
      <c r="E507" s="99">
        <f>' № 5  рп, кцср, квр'!F159</f>
        <v>0</v>
      </c>
      <c r="F507" s="99">
        <f>' № 5  рп, кцср, квр'!G159</f>
        <v>0</v>
      </c>
    </row>
    <row r="508" spans="1:6" ht="47.25">
      <c r="A508" s="108">
        <v>3620200000</v>
      </c>
      <c r="B508" s="108"/>
      <c r="C508" s="107" t="s">
        <v>202</v>
      </c>
      <c r="D508" s="99">
        <f>D509</f>
        <v>555.20000000000005</v>
      </c>
      <c r="E508" s="99">
        <f t="shared" ref="E508:F510" si="207">E509</f>
        <v>0</v>
      </c>
      <c r="F508" s="99">
        <f t="shared" si="207"/>
        <v>0</v>
      </c>
    </row>
    <row r="509" spans="1:6">
      <c r="A509" s="108">
        <v>3620220530</v>
      </c>
      <c r="B509" s="108"/>
      <c r="C509" s="107" t="s">
        <v>203</v>
      </c>
      <c r="D509" s="99">
        <f>D510</f>
        <v>555.20000000000005</v>
      </c>
      <c r="E509" s="99">
        <f t="shared" si="207"/>
        <v>0</v>
      </c>
      <c r="F509" s="99">
        <f t="shared" si="207"/>
        <v>0</v>
      </c>
    </row>
    <row r="510" spans="1:6" ht="31.5">
      <c r="A510" s="108">
        <v>3620220530</v>
      </c>
      <c r="B510" s="108" t="s">
        <v>69</v>
      </c>
      <c r="C510" s="107" t="s">
        <v>95</v>
      </c>
      <c r="D510" s="99">
        <f>D511</f>
        <v>555.20000000000005</v>
      </c>
      <c r="E510" s="99">
        <f t="shared" si="207"/>
        <v>0</v>
      </c>
      <c r="F510" s="99">
        <f t="shared" si="207"/>
        <v>0</v>
      </c>
    </row>
    <row r="511" spans="1:6" ht="31.5">
      <c r="A511" s="108">
        <v>3620220530</v>
      </c>
      <c r="B511" s="108">
        <v>240</v>
      </c>
      <c r="C511" s="107" t="s">
        <v>216</v>
      </c>
      <c r="D511" s="99">
        <f>' № 5  рп, кцср, квр'!E163</f>
        <v>555.20000000000005</v>
      </c>
      <c r="E511" s="99">
        <f>' № 5  рп, кцср, квр'!F163</f>
        <v>0</v>
      </c>
      <c r="F511" s="99">
        <f>' № 5  рп, кцср, квр'!G163</f>
        <v>0</v>
      </c>
    </row>
    <row r="512" spans="1:6" ht="47.25">
      <c r="A512" s="108">
        <v>3630000000</v>
      </c>
      <c r="B512" s="1"/>
      <c r="C512" s="26" t="s">
        <v>193</v>
      </c>
      <c r="D512" s="99">
        <f>D517+D513</f>
        <v>510</v>
      </c>
      <c r="E512" s="99">
        <f t="shared" ref="E512:F512" si="208">E517+E513</f>
        <v>26.5</v>
      </c>
      <c r="F512" s="99">
        <f t="shared" si="208"/>
        <v>26.5</v>
      </c>
    </row>
    <row r="513" spans="1:6" ht="31.5">
      <c r="A513" s="108">
        <v>3630100000</v>
      </c>
      <c r="B513" s="108"/>
      <c r="C513" s="107" t="s">
        <v>195</v>
      </c>
      <c r="D513" s="99">
        <f>D514</f>
        <v>150</v>
      </c>
      <c r="E513" s="99">
        <f t="shared" ref="E513:F515" si="209">E514</f>
        <v>0</v>
      </c>
      <c r="F513" s="99">
        <f t="shared" si="209"/>
        <v>0</v>
      </c>
    </row>
    <row r="514" spans="1:6">
      <c r="A514" s="108">
        <v>3630120510</v>
      </c>
      <c r="B514" s="108"/>
      <c r="C514" s="107" t="s">
        <v>197</v>
      </c>
      <c r="D514" s="99">
        <f>D515</f>
        <v>150</v>
      </c>
      <c r="E514" s="99">
        <f t="shared" si="209"/>
        <v>0</v>
      </c>
      <c r="F514" s="99">
        <f t="shared" si="209"/>
        <v>0</v>
      </c>
    </row>
    <row r="515" spans="1:6" ht="31.5">
      <c r="A515" s="108">
        <v>3630120510</v>
      </c>
      <c r="B515" s="108" t="s">
        <v>69</v>
      </c>
      <c r="C515" s="107" t="s">
        <v>95</v>
      </c>
      <c r="D515" s="99">
        <f>D516</f>
        <v>150</v>
      </c>
      <c r="E515" s="99">
        <f t="shared" si="209"/>
        <v>0</v>
      </c>
      <c r="F515" s="99">
        <f t="shared" si="209"/>
        <v>0</v>
      </c>
    </row>
    <row r="516" spans="1:6" ht="31.5">
      <c r="A516" s="108">
        <v>3630120510</v>
      </c>
      <c r="B516" s="108">
        <v>240</v>
      </c>
      <c r="C516" s="107" t="s">
        <v>216</v>
      </c>
      <c r="D516" s="99">
        <f>' № 5  рп, кцср, квр'!E640</f>
        <v>150</v>
      </c>
      <c r="E516" s="99">
        <f>' № 5  рп, кцср, квр'!F640</f>
        <v>0</v>
      </c>
      <c r="F516" s="99">
        <f>' № 5  рп, кцср, квр'!G640</f>
        <v>0</v>
      </c>
    </row>
    <row r="517" spans="1:6" ht="31.5">
      <c r="A517" s="108">
        <v>3630200000</v>
      </c>
      <c r="B517" s="1"/>
      <c r="C517" s="26" t="s">
        <v>196</v>
      </c>
      <c r="D517" s="99">
        <f>D518</f>
        <v>360</v>
      </c>
      <c r="E517" s="99">
        <f t="shared" ref="E517:F519" si="210">E518</f>
        <v>26.5</v>
      </c>
      <c r="F517" s="99">
        <f t="shared" si="210"/>
        <v>26.5</v>
      </c>
    </row>
    <row r="518" spans="1:6">
      <c r="A518" s="108">
        <v>3630220250</v>
      </c>
      <c r="B518" s="1"/>
      <c r="C518" s="26" t="s">
        <v>194</v>
      </c>
      <c r="D518" s="99">
        <f>D519</f>
        <v>360</v>
      </c>
      <c r="E518" s="99">
        <f t="shared" si="210"/>
        <v>26.5</v>
      </c>
      <c r="F518" s="99">
        <f t="shared" si="210"/>
        <v>26.5</v>
      </c>
    </row>
    <row r="519" spans="1:6" ht="31.5">
      <c r="A519" s="108">
        <v>3630220250</v>
      </c>
      <c r="B519" s="108" t="s">
        <v>69</v>
      </c>
      <c r="C519" s="107" t="s">
        <v>95</v>
      </c>
      <c r="D519" s="99">
        <f>D520</f>
        <v>360</v>
      </c>
      <c r="E519" s="99">
        <f t="shared" si="210"/>
        <v>26.5</v>
      </c>
      <c r="F519" s="99">
        <f t="shared" si="210"/>
        <v>26.5</v>
      </c>
    </row>
    <row r="520" spans="1:6" ht="31.5">
      <c r="A520" s="108">
        <v>3630220250</v>
      </c>
      <c r="B520" s="108">
        <v>240</v>
      </c>
      <c r="C520" s="107" t="s">
        <v>216</v>
      </c>
      <c r="D520" s="99">
        <f>' № 5  рп, кцср, квр'!E168</f>
        <v>360</v>
      </c>
      <c r="E520" s="99">
        <f>' № 5  рп, кцср, квр'!F168</f>
        <v>26.5</v>
      </c>
      <c r="F520" s="99">
        <f>' № 5  рп, кцср, квр'!G168</f>
        <v>26.5</v>
      </c>
    </row>
    <row r="521" spans="1:6" ht="31.5">
      <c r="A521" s="108">
        <v>3640000000</v>
      </c>
      <c r="B521" s="108"/>
      <c r="C521" s="107" t="s">
        <v>340</v>
      </c>
      <c r="D521" s="99">
        <f>D522</f>
        <v>33</v>
      </c>
      <c r="E521" s="99">
        <f t="shared" ref="E521:F524" si="211">E522</f>
        <v>0</v>
      </c>
      <c r="F521" s="99">
        <f t="shared" si="211"/>
        <v>0</v>
      </c>
    </row>
    <row r="522" spans="1:6" ht="31.5">
      <c r="A522" s="108">
        <v>3640100000</v>
      </c>
      <c r="B522" s="108"/>
      <c r="C522" s="107" t="s">
        <v>276</v>
      </c>
      <c r="D522" s="99">
        <f>D523</f>
        <v>33</v>
      </c>
      <c r="E522" s="99">
        <f t="shared" si="211"/>
        <v>0</v>
      </c>
      <c r="F522" s="99">
        <f t="shared" si="211"/>
        <v>0</v>
      </c>
    </row>
    <row r="523" spans="1:6" ht="31.5">
      <c r="A523" s="108">
        <v>3640120210</v>
      </c>
      <c r="B523" s="108"/>
      <c r="C523" s="107" t="s">
        <v>277</v>
      </c>
      <c r="D523" s="99">
        <f>D524</f>
        <v>33</v>
      </c>
      <c r="E523" s="99">
        <f t="shared" si="211"/>
        <v>0</v>
      </c>
      <c r="F523" s="99">
        <f t="shared" si="211"/>
        <v>0</v>
      </c>
    </row>
    <row r="524" spans="1:6" ht="31.5">
      <c r="A524" s="108">
        <v>3640120210</v>
      </c>
      <c r="B524" s="108" t="s">
        <v>69</v>
      </c>
      <c r="C524" s="107" t="s">
        <v>95</v>
      </c>
      <c r="D524" s="99">
        <f>D525</f>
        <v>33</v>
      </c>
      <c r="E524" s="99">
        <f t="shared" si="211"/>
        <v>0</v>
      </c>
      <c r="F524" s="99">
        <f t="shared" si="211"/>
        <v>0</v>
      </c>
    </row>
    <row r="525" spans="1:6" ht="31.5">
      <c r="A525" s="108">
        <v>3640120210</v>
      </c>
      <c r="B525" s="108">
        <v>240</v>
      </c>
      <c r="C525" s="107" t="s">
        <v>216</v>
      </c>
      <c r="D525" s="99">
        <f>' № 5  рп, кцср, квр'!E278</f>
        <v>33</v>
      </c>
      <c r="E525" s="99">
        <f>' № 5  рп, кцср, квр'!F278</f>
        <v>0</v>
      </c>
      <c r="F525" s="99">
        <f>' № 5  рп, кцср, квр'!G278</f>
        <v>0</v>
      </c>
    </row>
    <row r="526" spans="1:6">
      <c r="A526" s="19">
        <v>9900000000</v>
      </c>
      <c r="B526" s="19"/>
      <c r="C526" s="24" t="s">
        <v>105</v>
      </c>
      <c r="D526" s="98">
        <f>D527+D537+D556+D533</f>
        <v>153145.59999999998</v>
      </c>
      <c r="E526" s="98">
        <f>E527+E537+E556+E533</f>
        <v>125329.79999999999</v>
      </c>
      <c r="F526" s="98">
        <f>F527+F537+F556+F533</f>
        <v>118208.09999999999</v>
      </c>
    </row>
    <row r="527" spans="1:6">
      <c r="A527" s="108">
        <v>9910000000</v>
      </c>
      <c r="B527" s="108"/>
      <c r="C527" s="107" t="s">
        <v>8</v>
      </c>
      <c r="D527" s="99">
        <f>D528</f>
        <v>6200</v>
      </c>
      <c r="E527" s="99">
        <f t="shared" ref="E527:F531" si="212">E528</f>
        <v>500</v>
      </c>
      <c r="F527" s="99">
        <f t="shared" si="212"/>
        <v>500</v>
      </c>
    </row>
    <row r="528" spans="1:6">
      <c r="A528" s="108">
        <v>9910020000</v>
      </c>
      <c r="B528" s="108"/>
      <c r="C528" s="107" t="s">
        <v>253</v>
      </c>
      <c r="D528" s="99">
        <f>D531+D529</f>
        <v>6200</v>
      </c>
      <c r="E528" s="99">
        <f t="shared" ref="E528:F528" si="213">E531+E529</f>
        <v>500</v>
      </c>
      <c r="F528" s="99">
        <f t="shared" si="213"/>
        <v>500</v>
      </c>
    </row>
    <row r="529" spans="1:6" ht="31.5">
      <c r="A529" s="108">
        <v>9910000000</v>
      </c>
      <c r="B529" s="108" t="s">
        <v>69</v>
      </c>
      <c r="C529" s="30" t="s">
        <v>95</v>
      </c>
      <c r="D529" s="99">
        <f>D530</f>
        <v>4324.7999999999993</v>
      </c>
      <c r="E529" s="99">
        <f t="shared" ref="E529:F529" si="214">E530</f>
        <v>0</v>
      </c>
      <c r="F529" s="99">
        <f t="shared" si="214"/>
        <v>0</v>
      </c>
    </row>
    <row r="530" spans="1:6" ht="31.5">
      <c r="A530" s="108">
        <v>9910020000</v>
      </c>
      <c r="B530" s="108">
        <v>240</v>
      </c>
      <c r="C530" s="30" t="s">
        <v>216</v>
      </c>
      <c r="D530" s="99">
        <f>' № 5  рп, кцср, квр'!E304</f>
        <v>4324.7999999999993</v>
      </c>
      <c r="E530" s="99">
        <f>' № 5  рп, кцср, квр'!F304</f>
        <v>0</v>
      </c>
      <c r="F530" s="99">
        <f>' № 5  рп, кцср, квр'!G304</f>
        <v>0</v>
      </c>
    </row>
    <row r="531" spans="1:6">
      <c r="A531" s="108">
        <v>9910020000</v>
      </c>
      <c r="B531" s="108" t="s">
        <v>70</v>
      </c>
      <c r="C531" s="107" t="s">
        <v>71</v>
      </c>
      <c r="D531" s="99">
        <f>D532</f>
        <v>1875.2000000000007</v>
      </c>
      <c r="E531" s="99">
        <f t="shared" si="212"/>
        <v>500</v>
      </c>
      <c r="F531" s="99">
        <f t="shared" si="212"/>
        <v>500</v>
      </c>
    </row>
    <row r="532" spans="1:6">
      <c r="A532" s="108">
        <v>9910020000</v>
      </c>
      <c r="B532" s="1" t="s">
        <v>159</v>
      </c>
      <c r="C532" s="26" t="s">
        <v>160</v>
      </c>
      <c r="D532" s="99">
        <f>' № 5  рп, кцср, квр'!E98</f>
        <v>1875.2000000000007</v>
      </c>
      <c r="E532" s="99">
        <f>' № 5  рп, кцср, квр'!F98</f>
        <v>500</v>
      </c>
      <c r="F532" s="99">
        <f>' № 5  рп, кцср, квр'!G98</f>
        <v>500</v>
      </c>
    </row>
    <row r="533" spans="1:6" ht="47.25">
      <c r="A533" s="108">
        <v>9920000000</v>
      </c>
      <c r="B533" s="108"/>
      <c r="C533" s="30" t="s">
        <v>430</v>
      </c>
      <c r="D533" s="99">
        <f>D534</f>
        <v>740</v>
      </c>
      <c r="E533" s="99">
        <f t="shared" ref="E533:F535" si="215">E534</f>
        <v>0</v>
      </c>
      <c r="F533" s="99">
        <f t="shared" si="215"/>
        <v>0</v>
      </c>
    </row>
    <row r="534" spans="1:6" ht="31.5">
      <c r="A534" s="108" t="s">
        <v>431</v>
      </c>
      <c r="B534" s="108"/>
      <c r="C534" s="30" t="s">
        <v>432</v>
      </c>
      <c r="D534" s="99">
        <f>D535</f>
        <v>740</v>
      </c>
      <c r="E534" s="99">
        <f t="shared" si="215"/>
        <v>0</v>
      </c>
      <c r="F534" s="99">
        <f t="shared" si="215"/>
        <v>0</v>
      </c>
    </row>
    <row r="535" spans="1:6" ht="31.5">
      <c r="A535" s="108" t="s">
        <v>431</v>
      </c>
      <c r="B535" s="108" t="s">
        <v>97</v>
      </c>
      <c r="C535" s="30" t="s">
        <v>98</v>
      </c>
      <c r="D535" s="99">
        <f>D536</f>
        <v>740</v>
      </c>
      <c r="E535" s="99">
        <f t="shared" si="215"/>
        <v>0</v>
      </c>
      <c r="F535" s="99">
        <f t="shared" si="215"/>
        <v>0</v>
      </c>
    </row>
    <row r="536" spans="1:6">
      <c r="A536" s="108" t="s">
        <v>431</v>
      </c>
      <c r="B536" s="108">
        <v>610</v>
      </c>
      <c r="C536" s="30" t="s">
        <v>104</v>
      </c>
      <c r="D536" s="99">
        <f>' № 5  рп, кцср, квр'!E592</f>
        <v>740</v>
      </c>
      <c r="E536" s="99">
        <f>' № 5  рп, кцср, квр'!F592</f>
        <v>0</v>
      </c>
      <c r="F536" s="99">
        <f>' № 5  рп, кцср, квр'!G592</f>
        <v>0</v>
      </c>
    </row>
    <row r="537" spans="1:6" ht="31.5">
      <c r="A537" s="108">
        <v>9930000000</v>
      </c>
      <c r="B537" s="108"/>
      <c r="C537" s="107" t="s">
        <v>154</v>
      </c>
      <c r="D537" s="99">
        <f>D538+D547+D553+D550+D541</f>
        <v>37437.800000000003</v>
      </c>
      <c r="E537" s="99">
        <f t="shared" ref="E537:F537" si="216">E538+E547+E553+E550+E541</f>
        <v>22019.1</v>
      </c>
      <c r="F537" s="99">
        <f t="shared" si="216"/>
        <v>14020.7</v>
      </c>
    </row>
    <row r="538" spans="1:6" ht="31.5">
      <c r="A538" s="108">
        <v>9930020480</v>
      </c>
      <c r="B538" s="108"/>
      <c r="C538" s="107" t="s">
        <v>294</v>
      </c>
      <c r="D538" s="99">
        <f>D539</f>
        <v>8000</v>
      </c>
      <c r="E538" s="99">
        <f t="shared" ref="E538:F539" si="217">E539</f>
        <v>0</v>
      </c>
      <c r="F538" s="99">
        <f t="shared" si="217"/>
        <v>0</v>
      </c>
    </row>
    <row r="539" spans="1:6">
      <c r="A539" s="108">
        <v>9930020480</v>
      </c>
      <c r="B539" s="108" t="s">
        <v>70</v>
      </c>
      <c r="C539" s="107" t="s">
        <v>71</v>
      </c>
      <c r="D539" s="99">
        <f>D540</f>
        <v>8000</v>
      </c>
      <c r="E539" s="99">
        <f t="shared" si="217"/>
        <v>0</v>
      </c>
      <c r="F539" s="99">
        <f t="shared" si="217"/>
        <v>0</v>
      </c>
    </row>
    <row r="540" spans="1:6">
      <c r="A540" s="108">
        <v>9930020480</v>
      </c>
      <c r="B540" s="108">
        <v>880</v>
      </c>
      <c r="C540" s="107" t="s">
        <v>295</v>
      </c>
      <c r="D540" s="99">
        <f>' № 5  рп, кцср, квр'!E85</f>
        <v>8000</v>
      </c>
      <c r="E540" s="99">
        <f>' № 5  рп, кцср, квр'!F85</f>
        <v>0</v>
      </c>
      <c r="F540" s="99">
        <f>' № 5  рп, кцср, квр'!G85</f>
        <v>0</v>
      </c>
    </row>
    <row r="541" spans="1:6" ht="31.5">
      <c r="A541" s="108">
        <v>9930020490</v>
      </c>
      <c r="B541" s="108"/>
      <c r="C541" s="30" t="s">
        <v>438</v>
      </c>
      <c r="D541" s="99">
        <f>D544+D542</f>
        <v>395.5</v>
      </c>
      <c r="E541" s="99">
        <f t="shared" ref="E541:F541" si="218">E544+E542</f>
        <v>0</v>
      </c>
      <c r="F541" s="99">
        <f t="shared" si="218"/>
        <v>0</v>
      </c>
    </row>
    <row r="542" spans="1:6" ht="31.5">
      <c r="A542" s="108">
        <v>9930020490</v>
      </c>
      <c r="B542" s="108" t="s">
        <v>69</v>
      </c>
      <c r="C542" s="30" t="s">
        <v>95</v>
      </c>
      <c r="D542" s="99">
        <f>D543</f>
        <v>27.700000000000003</v>
      </c>
      <c r="E542" s="99">
        <f t="shared" ref="E542:F542" si="219">E543</f>
        <v>0</v>
      </c>
      <c r="F542" s="99">
        <f t="shared" si="219"/>
        <v>0</v>
      </c>
    </row>
    <row r="543" spans="1:6" ht="31.5">
      <c r="A543" s="108">
        <v>9930020490</v>
      </c>
      <c r="B543" s="108">
        <v>240</v>
      </c>
      <c r="C543" s="30" t="s">
        <v>216</v>
      </c>
      <c r="D543" s="99">
        <f>' № 5  рп, кцср, квр'!E173</f>
        <v>27.700000000000003</v>
      </c>
      <c r="E543" s="99">
        <f>' № 5  рп, кцср, квр'!F173</f>
        <v>0</v>
      </c>
      <c r="F543" s="99">
        <f>' № 5  рп, кцср, квр'!G173</f>
        <v>0</v>
      </c>
    </row>
    <row r="544" spans="1:6">
      <c r="A544" s="108">
        <v>9930020490</v>
      </c>
      <c r="B544" s="8" t="s">
        <v>70</v>
      </c>
      <c r="C544" s="22" t="s">
        <v>71</v>
      </c>
      <c r="D544" s="99">
        <f>D546+D545</f>
        <v>367.8</v>
      </c>
      <c r="E544" s="99">
        <f t="shared" ref="E544:F544" si="220">E546+E545</f>
        <v>0</v>
      </c>
      <c r="F544" s="99">
        <f t="shared" si="220"/>
        <v>0</v>
      </c>
    </row>
    <row r="545" spans="1:6">
      <c r="A545" s="108">
        <v>9930020490</v>
      </c>
      <c r="B545" s="1" t="s">
        <v>445</v>
      </c>
      <c r="C545" s="65" t="s">
        <v>446</v>
      </c>
      <c r="D545" s="99">
        <f>' № 5  рп, кцср, квр'!E175+' № 5  рп, кцср, квр'!E596</f>
        <v>217.8</v>
      </c>
      <c r="E545" s="99">
        <f>' № 5  рп, кцср, квр'!F175</f>
        <v>0</v>
      </c>
      <c r="F545" s="99">
        <f>' № 5  рп, кцср, квр'!G175</f>
        <v>0</v>
      </c>
    </row>
    <row r="546" spans="1:6">
      <c r="A546" s="108">
        <v>9930020490</v>
      </c>
      <c r="B546" s="108">
        <v>850</v>
      </c>
      <c r="C546" s="107" t="s">
        <v>100</v>
      </c>
      <c r="D546" s="99">
        <f>' № 5  рп, кцср, квр'!E266</f>
        <v>150</v>
      </c>
      <c r="E546" s="99">
        <f>' № 5  рп, кцср, квр'!F266</f>
        <v>0</v>
      </c>
      <c r="F546" s="99">
        <f>' № 5  рп, кцср, квр'!G266</f>
        <v>0</v>
      </c>
    </row>
    <row r="547" spans="1:6" ht="47.25">
      <c r="A547" s="108">
        <v>9930020600</v>
      </c>
      <c r="B547" s="1"/>
      <c r="C547" s="60" t="s">
        <v>312</v>
      </c>
      <c r="D547" s="99">
        <f>D548</f>
        <v>22000</v>
      </c>
      <c r="E547" s="99">
        <f t="shared" ref="E547:F548" si="221">E548</f>
        <v>22000</v>
      </c>
      <c r="F547" s="99">
        <f t="shared" si="221"/>
        <v>14000</v>
      </c>
    </row>
    <row r="548" spans="1:6">
      <c r="A548" s="108">
        <v>9930020600</v>
      </c>
      <c r="B548" s="108" t="s">
        <v>70</v>
      </c>
      <c r="C548" s="107" t="s">
        <v>71</v>
      </c>
      <c r="D548" s="99">
        <f>D549</f>
        <v>22000</v>
      </c>
      <c r="E548" s="99">
        <f t="shared" si="221"/>
        <v>22000</v>
      </c>
      <c r="F548" s="99">
        <f t="shared" si="221"/>
        <v>14000</v>
      </c>
    </row>
    <row r="549" spans="1:6">
      <c r="A549" s="108">
        <v>9930020600</v>
      </c>
      <c r="B549" s="1" t="s">
        <v>159</v>
      </c>
      <c r="C549" s="26" t="s">
        <v>160</v>
      </c>
      <c r="D549" s="99">
        <f>' № 5  рп, кцср, квр'!E308</f>
        <v>22000</v>
      </c>
      <c r="E549" s="99">
        <f>' № 5  рп, кцср, квр'!F308</f>
        <v>22000</v>
      </c>
      <c r="F549" s="99">
        <f>' № 5  рп, кцср, квр'!G308</f>
        <v>14000</v>
      </c>
    </row>
    <row r="550" spans="1:6" ht="47.25">
      <c r="A550" s="108">
        <v>9930020800</v>
      </c>
      <c r="B550" s="108"/>
      <c r="C550" s="30" t="s">
        <v>413</v>
      </c>
      <c r="D550" s="99">
        <f>D551</f>
        <v>6832</v>
      </c>
      <c r="E550" s="99">
        <f t="shared" ref="E550:F551" si="222">E551</f>
        <v>0</v>
      </c>
      <c r="F550" s="99">
        <f t="shared" si="222"/>
        <v>0</v>
      </c>
    </row>
    <row r="551" spans="1:6">
      <c r="A551" s="108">
        <v>9930020800</v>
      </c>
      <c r="B551" s="108" t="s">
        <v>70</v>
      </c>
      <c r="C551" s="107" t="s">
        <v>71</v>
      </c>
      <c r="D551" s="99">
        <f>D552</f>
        <v>6832</v>
      </c>
      <c r="E551" s="99">
        <f t="shared" si="222"/>
        <v>0</v>
      </c>
      <c r="F551" s="99">
        <f t="shared" si="222"/>
        <v>0</v>
      </c>
    </row>
    <row r="552" spans="1:6">
      <c r="A552" s="108">
        <v>9930020800</v>
      </c>
      <c r="B552" s="108">
        <v>850</v>
      </c>
      <c r="C552" s="107" t="s">
        <v>100</v>
      </c>
      <c r="D552" s="99">
        <f>' № 5  рп, кцср, квр'!E311</f>
        <v>6832</v>
      </c>
      <c r="E552" s="99">
        <f>' № 5  рп, кцср, квр'!F311</f>
        <v>0</v>
      </c>
      <c r="F552" s="99">
        <f>' № 5  рп, кцср, квр'!G311</f>
        <v>0</v>
      </c>
    </row>
    <row r="553" spans="1:6" ht="47.25">
      <c r="A553" s="108">
        <v>9930051200</v>
      </c>
      <c r="B553" s="108"/>
      <c r="C553" s="107" t="s">
        <v>155</v>
      </c>
      <c r="D553" s="99">
        <f>D554</f>
        <v>210.3</v>
      </c>
      <c r="E553" s="99">
        <f t="shared" ref="E553:F554" si="223">E554</f>
        <v>19.100000000000001</v>
      </c>
      <c r="F553" s="99">
        <f t="shared" si="223"/>
        <v>20.7</v>
      </c>
    </row>
    <row r="554" spans="1:6" ht="31.5">
      <c r="A554" s="108">
        <v>9930051200</v>
      </c>
      <c r="B554" s="108" t="s">
        <v>69</v>
      </c>
      <c r="C554" s="107" t="s">
        <v>95</v>
      </c>
      <c r="D554" s="99">
        <f>D555</f>
        <v>210.3</v>
      </c>
      <c r="E554" s="99">
        <f t="shared" si="223"/>
        <v>19.100000000000001</v>
      </c>
      <c r="F554" s="99">
        <f t="shared" si="223"/>
        <v>20.7</v>
      </c>
    </row>
    <row r="555" spans="1:6" ht="31.5">
      <c r="A555" s="108">
        <v>9930051200</v>
      </c>
      <c r="B555" s="108">
        <v>240</v>
      </c>
      <c r="C555" s="107" t="s">
        <v>216</v>
      </c>
      <c r="D555" s="99">
        <f>' № 5  рп, кцср, квр'!E54</f>
        <v>210.3</v>
      </c>
      <c r="E555" s="99">
        <f>' № 5  рп, кцср, квр'!F54</f>
        <v>19.100000000000001</v>
      </c>
      <c r="F555" s="99">
        <f>' № 5  рп, кцср, квр'!G54</f>
        <v>20.7</v>
      </c>
    </row>
    <row r="556" spans="1:6" ht="31.5">
      <c r="A556" s="108">
        <v>9990000000</v>
      </c>
      <c r="B556" s="108"/>
      <c r="C556" s="107" t="s">
        <v>145</v>
      </c>
      <c r="D556" s="99">
        <f>D557+D560+D574+D592+D600</f>
        <v>108767.79999999999</v>
      </c>
      <c r="E556" s="99">
        <f>E557+E560+E574+E592+E600</f>
        <v>102810.7</v>
      </c>
      <c r="F556" s="99">
        <f>F557+F560+F574+F592+F600</f>
        <v>103687.4</v>
      </c>
    </row>
    <row r="557" spans="1:6">
      <c r="A557" s="108">
        <v>9990021000</v>
      </c>
      <c r="B557" s="30"/>
      <c r="C557" s="107" t="s">
        <v>146</v>
      </c>
      <c r="D557" s="99">
        <f>D558</f>
        <v>3150.3</v>
      </c>
      <c r="E557" s="99">
        <f t="shared" ref="E557:F558" si="224">E558</f>
        <v>2461.8000000000002</v>
      </c>
      <c r="F557" s="99">
        <f t="shared" si="224"/>
        <v>2461.8000000000002</v>
      </c>
    </row>
    <row r="558" spans="1:6" ht="63">
      <c r="A558" s="108">
        <v>9990021000</v>
      </c>
      <c r="B558" s="108" t="s">
        <v>68</v>
      </c>
      <c r="C558" s="107" t="s">
        <v>1</v>
      </c>
      <c r="D558" s="99">
        <f>D559</f>
        <v>3150.3</v>
      </c>
      <c r="E558" s="99">
        <f t="shared" si="224"/>
        <v>2461.8000000000002</v>
      </c>
      <c r="F558" s="99">
        <f t="shared" si="224"/>
        <v>2461.8000000000002</v>
      </c>
    </row>
    <row r="559" spans="1:6" ht="31.5">
      <c r="A559" s="108">
        <v>9990021000</v>
      </c>
      <c r="B559" s="108">
        <v>120</v>
      </c>
      <c r="C559" s="107" t="s">
        <v>217</v>
      </c>
      <c r="D559" s="99">
        <f>' № 5  рп, кцср, квр'!E16</f>
        <v>3150.3</v>
      </c>
      <c r="E559" s="99">
        <f>' № 5  рп, кцср, квр'!F16</f>
        <v>2461.8000000000002</v>
      </c>
      <c r="F559" s="99">
        <f>' № 5  рп, кцср, квр'!G16</f>
        <v>2461.8000000000002</v>
      </c>
    </row>
    <row r="560" spans="1:6" ht="31.5">
      <c r="A560" s="108">
        <v>9990100000</v>
      </c>
      <c r="B560" s="108"/>
      <c r="C560" s="107" t="s">
        <v>161</v>
      </c>
      <c r="D560" s="99">
        <f>D561+D566+D571</f>
        <v>2694.5</v>
      </c>
      <c r="E560" s="99">
        <f t="shared" ref="E560:F560" si="225">E561+E566+E571</f>
        <v>2522.9</v>
      </c>
      <c r="F560" s="99">
        <f t="shared" si="225"/>
        <v>2522.9</v>
      </c>
    </row>
    <row r="561" spans="1:6" ht="31.5">
      <c r="A561" s="108">
        <v>9990123000</v>
      </c>
      <c r="B561" s="108"/>
      <c r="C561" s="107" t="s">
        <v>162</v>
      </c>
      <c r="D561" s="99">
        <f>D562+D564</f>
        <v>1495.3000000000002</v>
      </c>
      <c r="E561" s="99">
        <f t="shared" ref="E561:F561" si="226">E562+E564</f>
        <v>0</v>
      </c>
      <c r="F561" s="99">
        <f t="shared" si="226"/>
        <v>0</v>
      </c>
    </row>
    <row r="562" spans="1:6" ht="63">
      <c r="A562" s="108">
        <v>9990123000</v>
      </c>
      <c r="B562" s="108" t="s">
        <v>68</v>
      </c>
      <c r="C562" s="107" t="s">
        <v>1</v>
      </c>
      <c r="D562" s="99">
        <f>D563</f>
        <v>1286.9000000000001</v>
      </c>
      <c r="E562" s="99">
        <f t="shared" ref="E562:F562" si="227">E563</f>
        <v>0</v>
      </c>
      <c r="F562" s="99">
        <f t="shared" si="227"/>
        <v>0</v>
      </c>
    </row>
    <row r="563" spans="1:6" ht="31.5">
      <c r="A563" s="108">
        <v>9990123000</v>
      </c>
      <c r="B563" s="108">
        <v>120</v>
      </c>
      <c r="C563" s="107" t="s">
        <v>217</v>
      </c>
      <c r="D563" s="99">
        <f>' № 5  рп, кцср, квр'!E23</f>
        <v>1286.9000000000001</v>
      </c>
      <c r="E563" s="99">
        <f>' № 5  рп, кцср, квр'!F23</f>
        <v>0</v>
      </c>
      <c r="F563" s="99">
        <f>' № 5  рп, кцср, квр'!G23</f>
        <v>0</v>
      </c>
    </row>
    <row r="564" spans="1:6" ht="31.5">
      <c r="A564" s="108">
        <v>9990123000</v>
      </c>
      <c r="B564" s="108" t="s">
        <v>69</v>
      </c>
      <c r="C564" s="107" t="s">
        <v>95</v>
      </c>
      <c r="D564" s="99">
        <f>D565</f>
        <v>208.39999999999998</v>
      </c>
      <c r="E564" s="99">
        <f t="shared" ref="E564:F564" si="228">E565</f>
        <v>0</v>
      </c>
      <c r="F564" s="99">
        <f t="shared" si="228"/>
        <v>0</v>
      </c>
    </row>
    <row r="565" spans="1:6" ht="31.5">
      <c r="A565" s="108">
        <v>9990123000</v>
      </c>
      <c r="B565" s="108">
        <v>240</v>
      </c>
      <c r="C565" s="107" t="s">
        <v>216</v>
      </c>
      <c r="D565" s="99">
        <f>' № 5  рп, кцср, квр'!E25</f>
        <v>208.39999999999998</v>
      </c>
      <c r="E565" s="99">
        <f>' № 5  рп, кцср, квр'!F25</f>
        <v>0</v>
      </c>
      <c r="F565" s="99">
        <f>' № 5  рп, кцср, квр'!G25</f>
        <v>0</v>
      </c>
    </row>
    <row r="566" spans="1:6" ht="31.5">
      <c r="A566" s="108">
        <v>9990124000</v>
      </c>
      <c r="B566" s="108"/>
      <c r="C566" s="107" t="s">
        <v>479</v>
      </c>
      <c r="D566" s="99">
        <f>D567+D569</f>
        <v>1184.2</v>
      </c>
      <c r="E566" s="99">
        <f t="shared" ref="E566:F566" si="229">E567+E569</f>
        <v>2522.9</v>
      </c>
      <c r="F566" s="99">
        <f t="shared" si="229"/>
        <v>2522.9</v>
      </c>
    </row>
    <row r="567" spans="1:6" ht="63">
      <c r="A567" s="108">
        <v>9990124000</v>
      </c>
      <c r="B567" s="108" t="s">
        <v>68</v>
      </c>
      <c r="C567" s="107" t="s">
        <v>1</v>
      </c>
      <c r="D567" s="99">
        <f>D568</f>
        <v>609.40000000000009</v>
      </c>
      <c r="E567" s="99">
        <f t="shared" ref="E567:F567" si="230">E568</f>
        <v>1907.5</v>
      </c>
      <c r="F567" s="99">
        <f t="shared" si="230"/>
        <v>1907.5</v>
      </c>
    </row>
    <row r="568" spans="1:6" ht="31.5">
      <c r="A568" s="108">
        <v>9990124000</v>
      </c>
      <c r="B568" s="108">
        <v>120</v>
      </c>
      <c r="C568" s="107" t="s">
        <v>217</v>
      </c>
      <c r="D568" s="99">
        <f>' № 5  рп, кцср, квр'!E28</f>
        <v>609.40000000000009</v>
      </c>
      <c r="E568" s="99">
        <f>' № 5  рп, кцср, квр'!F28</f>
        <v>1907.5</v>
      </c>
      <c r="F568" s="99">
        <f>' № 5  рп, кцср, квр'!G28</f>
        <v>1907.5</v>
      </c>
    </row>
    <row r="569" spans="1:6" ht="31.5">
      <c r="A569" s="108">
        <v>9990124000</v>
      </c>
      <c r="B569" s="108" t="s">
        <v>69</v>
      </c>
      <c r="C569" s="107" t="s">
        <v>95</v>
      </c>
      <c r="D569" s="99">
        <f>D570</f>
        <v>574.79999999999995</v>
      </c>
      <c r="E569" s="99">
        <f t="shared" ref="E569:F569" si="231">E570</f>
        <v>615.4</v>
      </c>
      <c r="F569" s="99">
        <f t="shared" si="231"/>
        <v>615.4</v>
      </c>
    </row>
    <row r="570" spans="1:6" ht="31.5">
      <c r="A570" s="108">
        <v>9990124000</v>
      </c>
      <c r="B570" s="108">
        <v>240</v>
      </c>
      <c r="C570" s="107" t="s">
        <v>216</v>
      </c>
      <c r="D570" s="99">
        <f>' № 5  рп, кцср, квр'!E30</f>
        <v>574.79999999999995</v>
      </c>
      <c r="E570" s="99">
        <f>' № 5  рп, кцср, квр'!F30</f>
        <v>615.4</v>
      </c>
      <c r="F570" s="99">
        <f>' № 5  рп, кцср, квр'!G30</f>
        <v>615.4</v>
      </c>
    </row>
    <row r="571" spans="1:6" ht="47.25">
      <c r="A571" s="92">
        <v>9990155492</v>
      </c>
      <c r="B571" s="108"/>
      <c r="C571" s="107" t="s">
        <v>804</v>
      </c>
      <c r="D571" s="99">
        <f>D572</f>
        <v>15</v>
      </c>
      <c r="E571" s="99">
        <f t="shared" ref="E571:F572" si="232">E572</f>
        <v>0</v>
      </c>
      <c r="F571" s="99">
        <f t="shared" si="232"/>
        <v>0</v>
      </c>
    </row>
    <row r="572" spans="1:6" ht="63">
      <c r="A572" s="92">
        <v>9990155492</v>
      </c>
      <c r="B572" s="108" t="s">
        <v>68</v>
      </c>
      <c r="C572" s="107" t="s">
        <v>1</v>
      </c>
      <c r="D572" s="99">
        <f>D573</f>
        <v>15</v>
      </c>
      <c r="E572" s="99">
        <f t="shared" si="232"/>
        <v>0</v>
      </c>
      <c r="F572" s="99">
        <f t="shared" si="232"/>
        <v>0</v>
      </c>
    </row>
    <row r="573" spans="1:6" ht="31.5">
      <c r="A573" s="92">
        <v>9990155492</v>
      </c>
      <c r="B573" s="108">
        <v>120</v>
      </c>
      <c r="C573" s="107" t="s">
        <v>217</v>
      </c>
      <c r="D573" s="99">
        <f>' № 5  рп, кцср, квр'!E33</f>
        <v>15</v>
      </c>
      <c r="E573" s="99">
        <f>' № 5  рп, кцср, квр'!F33</f>
        <v>0</v>
      </c>
      <c r="F573" s="99">
        <f>' № 5  рп, кцср, квр'!G33</f>
        <v>0</v>
      </c>
    </row>
    <row r="574" spans="1:6" ht="31.5">
      <c r="A574" s="108">
        <v>9990200000</v>
      </c>
      <c r="B574" s="30"/>
      <c r="C574" s="107" t="s">
        <v>117</v>
      </c>
      <c r="D574" s="99">
        <f>D575+D578+D581+D589+D586</f>
        <v>69723.499999999985</v>
      </c>
      <c r="E574" s="99">
        <f t="shared" ref="E574:F574" si="233">E575+E578+E581+E589+E586</f>
        <v>66545.100000000006</v>
      </c>
      <c r="F574" s="99">
        <f t="shared" si="233"/>
        <v>66556.100000000006</v>
      </c>
    </row>
    <row r="575" spans="1:6" ht="47.25">
      <c r="A575" s="108">
        <v>9990210510</v>
      </c>
      <c r="B575" s="108"/>
      <c r="C575" s="107" t="s">
        <v>147</v>
      </c>
      <c r="D575" s="99">
        <f>D576</f>
        <v>1287.5</v>
      </c>
      <c r="E575" s="99">
        <f t="shared" ref="E575:F576" si="234">E576</f>
        <v>1295.5</v>
      </c>
      <c r="F575" s="99">
        <f t="shared" si="234"/>
        <v>1303.9000000000001</v>
      </c>
    </row>
    <row r="576" spans="1:6" ht="63">
      <c r="A576" s="108">
        <v>9990210510</v>
      </c>
      <c r="B576" s="108" t="s">
        <v>68</v>
      </c>
      <c r="C576" s="107" t="s">
        <v>1</v>
      </c>
      <c r="D576" s="99">
        <f>D577</f>
        <v>1287.5</v>
      </c>
      <c r="E576" s="99">
        <f t="shared" si="234"/>
        <v>1295.5</v>
      </c>
      <c r="F576" s="99">
        <f t="shared" si="234"/>
        <v>1303.9000000000001</v>
      </c>
    </row>
    <row r="577" spans="1:6" ht="31.5">
      <c r="A577" s="108">
        <v>9990210510</v>
      </c>
      <c r="B577" s="108">
        <v>120</v>
      </c>
      <c r="C577" s="107" t="s">
        <v>217</v>
      </c>
      <c r="D577" s="99">
        <f>' № 5  рп, кцср, квр'!E40</f>
        <v>1287.5</v>
      </c>
      <c r="E577" s="99">
        <f>' № 5  рп, кцср, квр'!F40</f>
        <v>1295.5</v>
      </c>
      <c r="F577" s="99">
        <f>' № 5  рп, кцср, квр'!G40</f>
        <v>1303.9000000000001</v>
      </c>
    </row>
    <row r="578" spans="1:6" ht="63">
      <c r="A578" s="108">
        <v>9990210540</v>
      </c>
      <c r="B578" s="108"/>
      <c r="C578" s="107" t="s">
        <v>151</v>
      </c>
      <c r="D578" s="99">
        <f>D579</f>
        <v>491.4</v>
      </c>
      <c r="E578" s="99">
        <f t="shared" ref="E578:F579" si="235">E579</f>
        <v>493.8</v>
      </c>
      <c r="F578" s="99">
        <f t="shared" si="235"/>
        <v>496.4</v>
      </c>
    </row>
    <row r="579" spans="1:6" ht="63">
      <c r="A579" s="108">
        <v>9990210540</v>
      </c>
      <c r="B579" s="108" t="s">
        <v>68</v>
      </c>
      <c r="C579" s="107" t="s">
        <v>1</v>
      </c>
      <c r="D579" s="99">
        <f>D580</f>
        <v>491.4</v>
      </c>
      <c r="E579" s="99">
        <f t="shared" si="235"/>
        <v>493.8</v>
      </c>
      <c r="F579" s="99">
        <f t="shared" si="235"/>
        <v>496.4</v>
      </c>
    </row>
    <row r="580" spans="1:6" ht="31.5">
      <c r="A580" s="108">
        <v>9990210540</v>
      </c>
      <c r="B580" s="108">
        <v>120</v>
      </c>
      <c r="C580" s="107" t="s">
        <v>217</v>
      </c>
      <c r="D580" s="99">
        <f>' № 5  рп, кцср, квр'!E180</f>
        <v>491.4</v>
      </c>
      <c r="E580" s="99">
        <f>' № 5  рп, кцср, квр'!F180</f>
        <v>493.8</v>
      </c>
      <c r="F580" s="99">
        <f>' № 5  рп, кцср, квр'!G180</f>
        <v>496.4</v>
      </c>
    </row>
    <row r="581" spans="1:6" ht="47.25">
      <c r="A581" s="108">
        <v>9990225000</v>
      </c>
      <c r="B581" s="108"/>
      <c r="C581" s="107" t="s">
        <v>118</v>
      </c>
      <c r="D581" s="99">
        <f>D582+D584</f>
        <v>65416.399999999994</v>
      </c>
      <c r="E581" s="99">
        <f t="shared" ref="E581:F581" si="236">E582+E584</f>
        <v>63050.6</v>
      </c>
      <c r="F581" s="99">
        <f t="shared" si="236"/>
        <v>63050.6</v>
      </c>
    </row>
    <row r="582" spans="1:6" ht="63">
      <c r="A582" s="108">
        <v>9990225000</v>
      </c>
      <c r="B582" s="108" t="s">
        <v>68</v>
      </c>
      <c r="C582" s="107" t="s">
        <v>1</v>
      </c>
      <c r="D582" s="99">
        <f>D583</f>
        <v>62784.999999999993</v>
      </c>
      <c r="E582" s="99">
        <f t="shared" ref="E582:F582" si="237">E583</f>
        <v>62828.799999999996</v>
      </c>
      <c r="F582" s="99">
        <f t="shared" si="237"/>
        <v>62828.799999999996</v>
      </c>
    </row>
    <row r="583" spans="1:6" ht="31.5">
      <c r="A583" s="108">
        <v>9990225000</v>
      </c>
      <c r="B583" s="108">
        <v>120</v>
      </c>
      <c r="C583" s="107" t="s">
        <v>217</v>
      </c>
      <c r="D583" s="99">
        <f>' № 5  рп, кцср, квр'!E43+' № 5  рп, кцср, квр'!E61+' № 5  рп, кцср, квр'!E183+' № 5  рп, кцср, квр'!E689</f>
        <v>62784.999999999993</v>
      </c>
      <c r="E583" s="99">
        <f>' № 5  рп, кцср, квр'!F43+' № 5  рп, кцср, квр'!F61+' № 5  рп, кцср, квр'!F183+' № 5  рп, кцср, квр'!F689</f>
        <v>62828.799999999996</v>
      </c>
      <c r="F583" s="99">
        <f>' № 5  рп, кцср, квр'!G43+' № 5  рп, кцср, квр'!G61+' № 5  рп, кцср, квр'!G183+' № 5  рп, кцср, квр'!G689</f>
        <v>62828.799999999996</v>
      </c>
    </row>
    <row r="584" spans="1:6">
      <c r="A584" s="108">
        <v>9990225000</v>
      </c>
      <c r="B584" s="108" t="s">
        <v>70</v>
      </c>
      <c r="C584" s="107" t="s">
        <v>71</v>
      </c>
      <c r="D584" s="99">
        <f>D585</f>
        <v>2631.3999999999996</v>
      </c>
      <c r="E584" s="99">
        <f t="shared" ref="E584:F584" si="238">E585</f>
        <v>221.79999999999998</v>
      </c>
      <c r="F584" s="99">
        <f t="shared" si="238"/>
        <v>221.79999999999998</v>
      </c>
    </row>
    <row r="585" spans="1:6">
      <c r="A585" s="108">
        <v>9990225000</v>
      </c>
      <c r="B585" s="108">
        <v>850</v>
      </c>
      <c r="C585" s="107" t="s">
        <v>100</v>
      </c>
      <c r="D585" s="99">
        <f>' № 5  рп, кцср, квр'!E691+' № 5  рп, кцср, квр'!E63+' № 5  рп, кцср, квр'!E45</f>
        <v>2631.3999999999996</v>
      </c>
      <c r="E585" s="99">
        <f>' № 5  рп, кцср, квр'!F691+' № 5  рп, кцср, квр'!F63+' № 5  рп, кцср, квр'!F45</f>
        <v>221.79999999999998</v>
      </c>
      <c r="F585" s="99">
        <f>' № 5  рп, кцср, квр'!G691+' № 5  рп, кцср, квр'!G63+' № 5  рп, кцср, квр'!G45</f>
        <v>221.79999999999998</v>
      </c>
    </row>
    <row r="586" spans="1:6" ht="47.25">
      <c r="A586" s="92">
        <v>9990255492</v>
      </c>
      <c r="B586" s="108"/>
      <c r="C586" s="107" t="s">
        <v>804</v>
      </c>
      <c r="D586" s="99">
        <f>D587</f>
        <v>823</v>
      </c>
      <c r="E586" s="99">
        <f t="shared" ref="E586:F587" si="239">E587</f>
        <v>0</v>
      </c>
      <c r="F586" s="99">
        <f t="shared" si="239"/>
        <v>0</v>
      </c>
    </row>
    <row r="587" spans="1:6" ht="63">
      <c r="A587" s="92">
        <v>9990255492</v>
      </c>
      <c r="B587" s="108" t="s">
        <v>68</v>
      </c>
      <c r="C587" s="107" t="s">
        <v>1</v>
      </c>
      <c r="D587" s="99">
        <f>D588</f>
        <v>823</v>
      </c>
      <c r="E587" s="99">
        <f t="shared" si="239"/>
        <v>0</v>
      </c>
      <c r="F587" s="99">
        <f t="shared" si="239"/>
        <v>0</v>
      </c>
    </row>
    <row r="588" spans="1:6" ht="31.5">
      <c r="A588" s="92">
        <v>9990255492</v>
      </c>
      <c r="B588" s="108">
        <v>120</v>
      </c>
      <c r="C588" s="107" t="s">
        <v>217</v>
      </c>
      <c r="D588" s="99">
        <f>' № 5  рп, кцср, квр'!E694+' № 5  рп, кцср, квр'!E186+' № 5  рп, кцср, квр'!E66+' № 5  рп, кцср, квр'!E48</f>
        <v>823</v>
      </c>
      <c r="E588" s="99">
        <f>' № 5  рп, кцср, квр'!F694+' № 5  рп, кцср, квр'!F186+' № 5  рп, кцср, квр'!F66+' № 5  рп, кцср, квр'!F48</f>
        <v>0</v>
      </c>
      <c r="F588" s="99">
        <f>' № 5  рп, кцср, квр'!G694+' № 5  рп, кцср, квр'!G186+' № 5  рп, кцср, квр'!G66+' № 5  рп, кцср, квр'!G48</f>
        <v>0</v>
      </c>
    </row>
    <row r="589" spans="1:6" ht="31.5">
      <c r="A589" s="108">
        <v>9990259302</v>
      </c>
      <c r="B589" s="108"/>
      <c r="C589" s="107" t="s">
        <v>158</v>
      </c>
      <c r="D589" s="99">
        <f>D590</f>
        <v>1705.2</v>
      </c>
      <c r="E589" s="99">
        <f t="shared" ref="E589:F590" si="240">E590</f>
        <v>1705.2</v>
      </c>
      <c r="F589" s="99">
        <f t="shared" si="240"/>
        <v>1705.2</v>
      </c>
    </row>
    <row r="590" spans="1:6" ht="63">
      <c r="A590" s="108">
        <v>9990259302</v>
      </c>
      <c r="B590" s="108" t="s">
        <v>68</v>
      </c>
      <c r="C590" s="107" t="s">
        <v>1</v>
      </c>
      <c r="D590" s="99">
        <f>D591</f>
        <v>1705.2</v>
      </c>
      <c r="E590" s="99">
        <f t="shared" si="240"/>
        <v>1705.2</v>
      </c>
      <c r="F590" s="99">
        <f t="shared" si="240"/>
        <v>1705.2</v>
      </c>
    </row>
    <row r="591" spans="1:6" ht="31.5">
      <c r="A591" s="108">
        <v>9990259302</v>
      </c>
      <c r="B591" s="108">
        <v>120</v>
      </c>
      <c r="C591" s="107" t="s">
        <v>217</v>
      </c>
      <c r="D591" s="99">
        <f>' № 5  рп, кцср, квр'!E202</f>
        <v>1705.2</v>
      </c>
      <c r="E591" s="99">
        <f>' № 5  рп, кцср, квр'!F202</f>
        <v>1705.2</v>
      </c>
      <c r="F591" s="99">
        <f>' № 5  рп, кцср, квр'!G202</f>
        <v>1705.2</v>
      </c>
    </row>
    <row r="592" spans="1:6" ht="31.5">
      <c r="A592" s="108">
        <v>9990300000</v>
      </c>
      <c r="B592" s="108"/>
      <c r="C592" s="107" t="s">
        <v>156</v>
      </c>
      <c r="D592" s="99">
        <f>D593</f>
        <v>30330.799999999999</v>
      </c>
      <c r="E592" s="99">
        <f t="shared" ref="E592:F592" si="241">E593</f>
        <v>28427.199999999997</v>
      </c>
      <c r="F592" s="99">
        <f t="shared" si="241"/>
        <v>29292.899999999998</v>
      </c>
    </row>
    <row r="593" spans="1:6">
      <c r="A593" s="108">
        <v>9990327000</v>
      </c>
      <c r="B593" s="108"/>
      <c r="C593" s="107" t="s">
        <v>320</v>
      </c>
      <c r="D593" s="99">
        <f>D594+D596+D598</f>
        <v>30330.799999999999</v>
      </c>
      <c r="E593" s="99">
        <f t="shared" ref="E593:F593" si="242">E594+E596+E598</f>
        <v>28427.199999999997</v>
      </c>
      <c r="F593" s="99">
        <f t="shared" si="242"/>
        <v>29292.899999999998</v>
      </c>
    </row>
    <row r="594" spans="1:6" ht="63">
      <c r="A594" s="108">
        <v>9990327000</v>
      </c>
      <c r="B594" s="108" t="s">
        <v>68</v>
      </c>
      <c r="C594" s="107" t="s">
        <v>1</v>
      </c>
      <c r="D594" s="99">
        <f>D595</f>
        <v>22568</v>
      </c>
      <c r="E594" s="99">
        <f t="shared" ref="E594:F594" si="243">E595</f>
        <v>23399.599999999999</v>
      </c>
      <c r="F594" s="99">
        <f t="shared" si="243"/>
        <v>24265.3</v>
      </c>
    </row>
    <row r="595" spans="1:6">
      <c r="A595" s="108">
        <v>9990327000</v>
      </c>
      <c r="B595" s="108">
        <v>110</v>
      </c>
      <c r="C595" s="26" t="s">
        <v>157</v>
      </c>
      <c r="D595" s="99">
        <f>' № 5  рп, кцср, квр'!E190</f>
        <v>22568</v>
      </c>
      <c r="E595" s="99">
        <f>' № 5  рп, кцср, квр'!F190</f>
        <v>23399.599999999999</v>
      </c>
      <c r="F595" s="99">
        <f>' № 5  рп, кцср, квр'!G190</f>
        <v>24265.3</v>
      </c>
    </row>
    <row r="596" spans="1:6" ht="31.5">
      <c r="A596" s="108">
        <v>9990327000</v>
      </c>
      <c r="B596" s="108" t="s">
        <v>69</v>
      </c>
      <c r="C596" s="107" t="s">
        <v>95</v>
      </c>
      <c r="D596" s="99">
        <f>D597</f>
        <v>7735.2</v>
      </c>
      <c r="E596" s="99">
        <f t="shared" ref="E596:F596" si="244">E597</f>
        <v>5000</v>
      </c>
      <c r="F596" s="99">
        <f t="shared" si="244"/>
        <v>5000</v>
      </c>
    </row>
    <row r="597" spans="1:6" ht="31.5">
      <c r="A597" s="108">
        <v>9990327000</v>
      </c>
      <c r="B597" s="108">
        <v>240</v>
      </c>
      <c r="C597" s="107" t="s">
        <v>216</v>
      </c>
      <c r="D597" s="99">
        <f>' № 5  рп, кцср, квр'!E192</f>
        <v>7735.2</v>
      </c>
      <c r="E597" s="99">
        <f>' № 5  рп, кцср, квр'!F192</f>
        <v>5000</v>
      </c>
      <c r="F597" s="99">
        <f>' № 5  рп, кцср, квр'!G192</f>
        <v>5000</v>
      </c>
    </row>
    <row r="598" spans="1:6">
      <c r="A598" s="108">
        <v>9990327000</v>
      </c>
      <c r="B598" s="108" t="s">
        <v>70</v>
      </c>
      <c r="C598" s="107" t="s">
        <v>71</v>
      </c>
      <c r="D598" s="99">
        <f>D599</f>
        <v>27.6</v>
      </c>
      <c r="E598" s="99">
        <f t="shared" ref="E598:F598" si="245">E599</f>
        <v>27.6</v>
      </c>
      <c r="F598" s="99">
        <f t="shared" si="245"/>
        <v>27.6</v>
      </c>
    </row>
    <row r="599" spans="1:6">
      <c r="A599" s="108">
        <v>9990327000</v>
      </c>
      <c r="B599" s="108">
        <v>850</v>
      </c>
      <c r="C599" s="107" t="s">
        <v>100</v>
      </c>
      <c r="D599" s="99">
        <f>' № 5  рп, кцср, квр'!E194</f>
        <v>27.6</v>
      </c>
      <c r="E599" s="99">
        <f>' № 5  рп, кцср, квр'!F194</f>
        <v>27.6</v>
      </c>
      <c r="F599" s="99">
        <f>' № 5  рп, кцср, квр'!G194</f>
        <v>27.6</v>
      </c>
    </row>
    <row r="600" spans="1:6" ht="31.5">
      <c r="A600" s="108">
        <v>9990400000</v>
      </c>
      <c r="B600" s="108"/>
      <c r="C600" s="52" t="s">
        <v>280</v>
      </c>
      <c r="D600" s="99">
        <f>D601+D604+D607+D610</f>
        <v>2868.7</v>
      </c>
      <c r="E600" s="99">
        <f t="shared" ref="E600:F600" si="246">E601+E604+E607+E610</f>
        <v>2853.7</v>
      </c>
      <c r="F600" s="99">
        <f t="shared" si="246"/>
        <v>2853.7</v>
      </c>
    </row>
    <row r="601" spans="1:6" ht="31.5">
      <c r="A601" s="108">
        <v>9990426000</v>
      </c>
      <c r="B601" s="108"/>
      <c r="C601" s="52" t="s">
        <v>304</v>
      </c>
      <c r="D601" s="99">
        <f>D602</f>
        <v>727.3</v>
      </c>
      <c r="E601" s="99">
        <f t="shared" ref="E601:F601" si="247">E602</f>
        <v>0</v>
      </c>
      <c r="F601" s="99">
        <f t="shared" si="247"/>
        <v>0</v>
      </c>
    </row>
    <row r="602" spans="1:6" ht="63">
      <c r="A602" s="108">
        <v>9990426000</v>
      </c>
      <c r="B602" s="108" t="s">
        <v>68</v>
      </c>
      <c r="C602" s="107" t="s">
        <v>1</v>
      </c>
      <c r="D602" s="99">
        <f>D603</f>
        <v>727.3</v>
      </c>
      <c r="E602" s="99">
        <f t="shared" ref="E602:F602" si="248">E603</f>
        <v>0</v>
      </c>
      <c r="F602" s="99">
        <f t="shared" si="248"/>
        <v>0</v>
      </c>
    </row>
    <row r="603" spans="1:6" ht="31.5">
      <c r="A603" s="108">
        <v>9990426000</v>
      </c>
      <c r="B603" s="108">
        <v>120</v>
      </c>
      <c r="C603" s="59" t="s">
        <v>217</v>
      </c>
      <c r="D603" s="99">
        <f>' № 5  рп, кцср, квр'!E70</f>
        <v>727.3</v>
      </c>
      <c r="E603" s="99">
        <f>' № 5  рп, кцср, квр'!F70</f>
        <v>0</v>
      </c>
      <c r="F603" s="99">
        <f>' № 5  рп, кцср, квр'!G70</f>
        <v>0</v>
      </c>
    </row>
    <row r="604" spans="1:6">
      <c r="A604" s="108">
        <v>9990427000</v>
      </c>
      <c r="B604" s="108"/>
      <c r="C604" s="52" t="s">
        <v>796</v>
      </c>
      <c r="D604" s="99">
        <f>D605</f>
        <v>1694.1</v>
      </c>
      <c r="E604" s="99">
        <f t="shared" ref="E604:F605" si="249">E605</f>
        <v>1694.1</v>
      </c>
      <c r="F604" s="99">
        <f t="shared" si="249"/>
        <v>1694.1</v>
      </c>
    </row>
    <row r="605" spans="1:6" ht="63">
      <c r="A605" s="108">
        <v>9990427000</v>
      </c>
      <c r="B605" s="108" t="s">
        <v>68</v>
      </c>
      <c r="C605" s="107" t="s">
        <v>1</v>
      </c>
      <c r="D605" s="99">
        <f>D606</f>
        <v>1694.1</v>
      </c>
      <c r="E605" s="99">
        <f t="shared" si="249"/>
        <v>1694.1</v>
      </c>
      <c r="F605" s="99">
        <f t="shared" si="249"/>
        <v>1694.1</v>
      </c>
    </row>
    <row r="606" spans="1:6" ht="31.5">
      <c r="A606" s="108">
        <v>9990427000</v>
      </c>
      <c r="B606" s="108">
        <v>120</v>
      </c>
      <c r="C606" s="107" t="s">
        <v>217</v>
      </c>
      <c r="D606" s="99">
        <f>' № 5  рп, кцср, квр'!E73</f>
        <v>1694.1</v>
      </c>
      <c r="E606" s="99">
        <f>' № 5  рп, кцср, квр'!F73</f>
        <v>1694.1</v>
      </c>
      <c r="F606" s="99">
        <f>' № 5  рп, кцср, квр'!G73</f>
        <v>1694.1</v>
      </c>
    </row>
    <row r="607" spans="1:6" ht="31.5">
      <c r="A607" s="108">
        <v>9990428000</v>
      </c>
      <c r="B607" s="108"/>
      <c r="C607" s="52" t="s">
        <v>797</v>
      </c>
      <c r="D607" s="99">
        <f>D608</f>
        <v>432.3</v>
      </c>
      <c r="E607" s="99">
        <f t="shared" ref="E607:F608" si="250">E608</f>
        <v>1159.5999999999999</v>
      </c>
      <c r="F607" s="99">
        <f t="shared" si="250"/>
        <v>1159.5999999999999</v>
      </c>
    </row>
    <row r="608" spans="1:6" ht="63">
      <c r="A608" s="108">
        <v>9990428000</v>
      </c>
      <c r="B608" s="108" t="s">
        <v>68</v>
      </c>
      <c r="C608" s="107" t="s">
        <v>1</v>
      </c>
      <c r="D608" s="99">
        <f>D609</f>
        <v>432.3</v>
      </c>
      <c r="E608" s="99">
        <f t="shared" si="250"/>
        <v>1159.5999999999999</v>
      </c>
      <c r="F608" s="99">
        <f t="shared" si="250"/>
        <v>1159.5999999999999</v>
      </c>
    </row>
    <row r="609" spans="1:6" ht="31.5">
      <c r="A609" s="108">
        <v>9990428000</v>
      </c>
      <c r="B609" s="108">
        <v>120</v>
      </c>
      <c r="C609" s="107" t="s">
        <v>217</v>
      </c>
      <c r="D609" s="99">
        <f>' № 5  рп, кцср, квр'!E76</f>
        <v>432.3</v>
      </c>
      <c r="E609" s="99">
        <f>' № 5  рп, кцср, квр'!F76</f>
        <v>1159.5999999999999</v>
      </c>
      <c r="F609" s="99">
        <f>' № 5  рп, кцср, квр'!G76</f>
        <v>1159.5999999999999</v>
      </c>
    </row>
    <row r="610" spans="1:6" ht="47.25">
      <c r="A610" s="108">
        <v>9990455492</v>
      </c>
      <c r="B610" s="108"/>
      <c r="C610" s="107" t="s">
        <v>804</v>
      </c>
      <c r="D610" s="99">
        <f>D611</f>
        <v>15</v>
      </c>
      <c r="E610" s="99">
        <f t="shared" ref="E610:F611" si="251">E611</f>
        <v>0</v>
      </c>
      <c r="F610" s="99">
        <f t="shared" si="251"/>
        <v>0</v>
      </c>
    </row>
    <row r="611" spans="1:6" ht="63">
      <c r="A611" s="108">
        <v>9990455492</v>
      </c>
      <c r="B611" s="108" t="s">
        <v>68</v>
      </c>
      <c r="C611" s="107" t="s">
        <v>1</v>
      </c>
      <c r="D611" s="99">
        <f>D612</f>
        <v>15</v>
      </c>
      <c r="E611" s="99">
        <f t="shared" si="251"/>
        <v>0</v>
      </c>
      <c r="F611" s="99">
        <f t="shared" si="251"/>
        <v>0</v>
      </c>
    </row>
    <row r="612" spans="1:6" ht="31.5">
      <c r="A612" s="108">
        <v>9990455492</v>
      </c>
      <c r="B612" s="108">
        <v>120</v>
      </c>
      <c r="C612" s="107" t="s">
        <v>217</v>
      </c>
      <c r="D612" s="99">
        <f>' № 5  рп, кцср, квр'!E79</f>
        <v>15</v>
      </c>
      <c r="E612" s="99">
        <f>' № 5  рп, кцср, квр'!F79</f>
        <v>0</v>
      </c>
      <c r="F612" s="99">
        <f>' № 5  рп, кцср, квр'!G79</f>
        <v>0</v>
      </c>
    </row>
    <row r="613" spans="1:6">
      <c r="A613" s="93"/>
      <c r="B613" s="93"/>
      <c r="C613" s="103"/>
      <c r="D613" s="104"/>
      <c r="E613" s="104"/>
      <c r="F613" s="104"/>
    </row>
    <row r="614" spans="1:6">
      <c r="A614" s="93"/>
      <c r="B614" s="93"/>
      <c r="C614" s="103"/>
      <c r="D614" s="104"/>
      <c r="E614" s="104"/>
      <c r="F614" s="104"/>
    </row>
    <row r="615" spans="1:6">
      <c r="A615" s="93"/>
      <c r="B615" s="93"/>
      <c r="C615" s="103"/>
      <c r="D615" s="104"/>
      <c r="E615" s="104"/>
      <c r="F615" s="104"/>
    </row>
    <row r="616" spans="1:6">
      <c r="A616" s="93"/>
      <c r="B616" s="93"/>
      <c r="C616" s="103"/>
      <c r="D616" s="104"/>
      <c r="E616" s="104"/>
      <c r="F616" s="104"/>
    </row>
    <row r="617" spans="1:6">
      <c r="A617" s="93"/>
      <c r="B617" s="93"/>
      <c r="C617" s="103"/>
      <c r="D617" s="104"/>
      <c r="E617" s="104"/>
      <c r="F617" s="104"/>
    </row>
    <row r="618" spans="1:6">
      <c r="A618" s="93"/>
      <c r="B618" s="93"/>
      <c r="C618" s="103"/>
      <c r="D618" s="104"/>
      <c r="E618" s="104"/>
      <c r="F618" s="104"/>
    </row>
    <row r="619" spans="1:6">
      <c r="A619" s="93"/>
      <c r="B619" s="93"/>
      <c r="C619" s="103"/>
      <c r="D619" s="104"/>
      <c r="E619" s="104"/>
      <c r="F619" s="104"/>
    </row>
    <row r="620" spans="1:6">
      <c r="A620" s="93"/>
      <c r="B620" s="93"/>
      <c r="C620" s="103"/>
      <c r="D620" s="104"/>
      <c r="E620" s="104"/>
      <c r="F620" s="104"/>
    </row>
    <row r="621" spans="1:6">
      <c r="A621" s="93"/>
      <c r="B621" s="93"/>
      <c r="C621" s="103"/>
      <c r="D621" s="104"/>
      <c r="E621" s="104"/>
      <c r="F621" s="104"/>
    </row>
    <row r="622" spans="1:6">
      <c r="A622" s="93"/>
      <c r="B622" s="93"/>
      <c r="C622" s="103"/>
      <c r="D622" s="104"/>
      <c r="E622" s="104"/>
      <c r="F622" s="104"/>
    </row>
    <row r="623" spans="1:6">
      <c r="A623" s="93"/>
      <c r="B623" s="93"/>
      <c r="C623" s="103"/>
      <c r="D623" s="104"/>
      <c r="E623" s="104"/>
      <c r="F623" s="104"/>
    </row>
    <row r="624" spans="1:6">
      <c r="A624" s="93"/>
      <c r="B624" s="93"/>
      <c r="C624" s="103"/>
      <c r="D624" s="104"/>
      <c r="E624" s="104"/>
      <c r="F624" s="104"/>
    </row>
    <row r="625" spans="1:6">
      <c r="A625" s="93"/>
      <c r="B625" s="93"/>
      <c r="C625" s="103"/>
      <c r="D625" s="104"/>
      <c r="E625" s="104"/>
      <c r="F625" s="104"/>
    </row>
    <row r="626" spans="1:6">
      <c r="A626" s="93"/>
      <c r="B626" s="93"/>
      <c r="C626" s="103"/>
      <c r="D626" s="104"/>
      <c r="E626" s="104"/>
      <c r="F626" s="104"/>
    </row>
    <row r="627" spans="1:6">
      <c r="A627" s="93"/>
      <c r="B627" s="93"/>
      <c r="C627" s="103"/>
      <c r="D627" s="104"/>
      <c r="E627" s="104"/>
      <c r="F627" s="104"/>
    </row>
    <row r="628" spans="1:6">
      <c r="A628" s="93"/>
      <c r="B628" s="93"/>
      <c r="C628" s="103"/>
      <c r="D628" s="104"/>
      <c r="E628" s="104"/>
      <c r="F628" s="104"/>
    </row>
    <row r="629" spans="1:6">
      <c r="A629" s="93"/>
      <c r="B629" s="93"/>
      <c r="C629" s="103"/>
      <c r="D629" s="104"/>
      <c r="E629" s="104"/>
      <c r="F629" s="104"/>
    </row>
    <row r="630" spans="1:6">
      <c r="A630" s="93"/>
      <c r="B630" s="93"/>
      <c r="C630" s="103"/>
      <c r="D630" s="104"/>
      <c r="E630" s="104"/>
      <c r="F630" s="104"/>
    </row>
    <row r="631" spans="1:6">
      <c r="A631" s="93"/>
      <c r="B631" s="93"/>
      <c r="C631" s="103"/>
      <c r="D631" s="104"/>
      <c r="E631" s="104"/>
      <c r="F631" s="104"/>
    </row>
    <row r="632" spans="1:6">
      <c r="A632" s="93"/>
      <c r="B632" s="93"/>
      <c r="C632" s="103"/>
      <c r="D632" s="104"/>
      <c r="E632" s="104"/>
      <c r="F632" s="104"/>
    </row>
    <row r="633" spans="1:6">
      <c r="A633" s="93"/>
      <c r="B633" s="93"/>
      <c r="C633" s="103"/>
      <c r="D633" s="104"/>
      <c r="E633" s="104"/>
      <c r="F633" s="104"/>
    </row>
    <row r="634" spans="1:6">
      <c r="A634" s="93"/>
      <c r="B634" s="93"/>
      <c r="C634" s="103"/>
      <c r="D634" s="104"/>
      <c r="E634" s="104"/>
      <c r="F634" s="104"/>
    </row>
    <row r="635" spans="1:6">
      <c r="A635" s="93"/>
      <c r="B635" s="93"/>
      <c r="C635" s="103"/>
      <c r="D635" s="104"/>
      <c r="E635" s="104"/>
      <c r="F635" s="104"/>
    </row>
    <row r="636" spans="1:6">
      <c r="A636" s="93"/>
      <c r="B636" s="93"/>
      <c r="C636" s="103"/>
      <c r="D636" s="104"/>
      <c r="E636" s="104"/>
      <c r="F636" s="104"/>
    </row>
    <row r="637" spans="1:6">
      <c r="A637" s="93"/>
      <c r="B637" s="93"/>
      <c r="C637" s="103"/>
      <c r="D637" s="104"/>
      <c r="E637" s="104"/>
      <c r="F637" s="104"/>
    </row>
    <row r="638" spans="1:6">
      <c r="A638" s="93"/>
      <c r="B638" s="93"/>
      <c r="C638" s="103"/>
      <c r="D638" s="104"/>
      <c r="E638" s="104"/>
      <c r="F638" s="104"/>
    </row>
    <row r="639" spans="1:6">
      <c r="A639" s="93"/>
      <c r="B639" s="93"/>
      <c r="C639" s="103"/>
      <c r="D639" s="104"/>
      <c r="E639" s="104"/>
      <c r="F639" s="104"/>
    </row>
    <row r="640" spans="1:6">
      <c r="A640" s="93"/>
      <c r="B640" s="93"/>
      <c r="C640" s="103"/>
      <c r="D640" s="104"/>
      <c r="E640" s="104"/>
      <c r="F640" s="104"/>
    </row>
    <row r="641" spans="1:6">
      <c r="A641" s="93"/>
      <c r="B641" s="93"/>
      <c r="C641" s="103"/>
      <c r="D641" s="104"/>
      <c r="E641" s="104"/>
      <c r="F641" s="104"/>
    </row>
    <row r="642" spans="1:6">
      <c r="A642" s="93"/>
      <c r="B642" s="93"/>
      <c r="C642" s="103"/>
      <c r="D642" s="104"/>
      <c r="E642" s="104"/>
      <c r="F642" s="104"/>
    </row>
    <row r="643" spans="1:6">
      <c r="A643" s="93"/>
      <c r="B643" s="93"/>
      <c r="C643" s="103"/>
      <c r="D643" s="104"/>
      <c r="E643" s="104"/>
      <c r="F643" s="104"/>
    </row>
    <row r="644" spans="1:6">
      <c r="A644" s="93"/>
      <c r="B644" s="93"/>
      <c r="C644" s="103"/>
      <c r="D644" s="104"/>
      <c r="E644" s="104"/>
      <c r="F644" s="104"/>
    </row>
    <row r="645" spans="1:6">
      <c r="A645" s="93"/>
      <c r="B645" s="93"/>
      <c r="C645" s="103"/>
      <c r="D645" s="104"/>
      <c r="E645" s="104"/>
      <c r="F645" s="104"/>
    </row>
    <row r="646" spans="1:6">
      <c r="A646" s="93"/>
      <c r="B646" s="93"/>
      <c r="C646" s="103"/>
      <c r="D646" s="104"/>
      <c r="E646" s="104"/>
      <c r="F646" s="104"/>
    </row>
    <row r="647" spans="1:6">
      <c r="A647" s="93"/>
      <c r="B647" s="93"/>
      <c r="C647" s="103"/>
      <c r="D647" s="104"/>
      <c r="E647" s="104"/>
      <c r="F647" s="104"/>
    </row>
    <row r="648" spans="1:6">
      <c r="A648" s="93"/>
      <c r="B648" s="93"/>
      <c r="C648" s="103"/>
      <c r="D648" s="104"/>
      <c r="E648" s="104"/>
      <c r="F648" s="104"/>
    </row>
    <row r="649" spans="1:6">
      <c r="A649" s="93"/>
      <c r="B649" s="93"/>
      <c r="C649" s="103"/>
      <c r="D649" s="104"/>
      <c r="E649" s="104"/>
      <c r="F649" s="104"/>
    </row>
    <row r="650" spans="1:6">
      <c r="A650" s="93"/>
      <c r="B650" s="93"/>
      <c r="C650" s="103"/>
      <c r="D650" s="104"/>
      <c r="E650" s="104"/>
      <c r="F650" s="104"/>
    </row>
    <row r="651" spans="1:6">
      <c r="A651" s="93"/>
      <c r="B651" s="93"/>
      <c r="C651" s="103"/>
      <c r="D651" s="104"/>
      <c r="E651" s="104"/>
      <c r="F651" s="104"/>
    </row>
    <row r="652" spans="1:6">
      <c r="A652" s="93"/>
      <c r="B652" s="93"/>
      <c r="C652" s="103"/>
      <c r="D652" s="104"/>
      <c r="E652" s="104"/>
      <c r="F652" s="104"/>
    </row>
    <row r="653" spans="1:6">
      <c r="A653" s="93"/>
      <c r="B653" s="93"/>
      <c r="C653" s="103"/>
      <c r="D653" s="104"/>
      <c r="E653" s="104"/>
      <c r="F653" s="104"/>
    </row>
    <row r="654" spans="1:6">
      <c r="A654" s="93"/>
      <c r="B654" s="93"/>
      <c r="C654" s="103"/>
      <c r="D654" s="104"/>
      <c r="E654" s="104"/>
      <c r="F654" s="104"/>
    </row>
    <row r="655" spans="1:6">
      <c r="A655" s="93"/>
      <c r="B655" s="93"/>
      <c r="C655" s="103"/>
      <c r="D655" s="104"/>
      <c r="E655" s="104"/>
      <c r="F655" s="104"/>
    </row>
    <row r="656" spans="1:6">
      <c r="A656" s="93"/>
      <c r="B656" s="93"/>
      <c r="C656" s="103"/>
      <c r="D656" s="104"/>
      <c r="E656" s="104"/>
      <c r="F656" s="104"/>
    </row>
    <row r="657" spans="1:6">
      <c r="A657" s="93"/>
      <c r="B657" s="93"/>
      <c r="C657" s="103"/>
      <c r="D657" s="104"/>
      <c r="E657" s="104"/>
      <c r="F657" s="104"/>
    </row>
    <row r="658" spans="1:6">
      <c r="A658" s="93"/>
      <c r="B658" s="93"/>
      <c r="C658" s="103"/>
      <c r="D658" s="104"/>
      <c r="E658" s="104"/>
      <c r="F658" s="104"/>
    </row>
    <row r="659" spans="1:6">
      <c r="A659" s="93"/>
      <c r="B659" s="93"/>
      <c r="C659" s="103"/>
      <c r="D659" s="104"/>
      <c r="E659" s="104"/>
      <c r="F659" s="104"/>
    </row>
    <row r="660" spans="1:6">
      <c r="A660" s="93"/>
      <c r="B660" s="93"/>
      <c r="C660" s="103"/>
      <c r="D660" s="104"/>
      <c r="E660" s="104"/>
      <c r="F660" s="104"/>
    </row>
    <row r="661" spans="1:6">
      <c r="A661" s="93"/>
      <c r="B661" s="93"/>
      <c r="C661" s="103"/>
      <c r="D661" s="104"/>
      <c r="E661" s="104"/>
      <c r="F661" s="104"/>
    </row>
    <row r="662" spans="1:6">
      <c r="A662" s="93"/>
      <c r="B662" s="93"/>
      <c r="C662" s="103"/>
      <c r="D662" s="104"/>
      <c r="E662" s="104"/>
      <c r="F662" s="104"/>
    </row>
    <row r="663" spans="1:6">
      <c r="A663" s="93"/>
      <c r="B663" s="93"/>
      <c r="C663" s="103"/>
      <c r="D663" s="104"/>
      <c r="E663" s="104"/>
      <c r="F663" s="104"/>
    </row>
    <row r="664" spans="1:6">
      <c r="A664" s="93"/>
      <c r="B664" s="93"/>
      <c r="C664" s="103"/>
      <c r="D664" s="104"/>
      <c r="E664" s="104"/>
      <c r="F664" s="104"/>
    </row>
    <row r="665" spans="1:6">
      <c r="A665" s="93"/>
      <c r="B665" s="93"/>
      <c r="C665" s="103"/>
      <c r="D665" s="104"/>
      <c r="E665" s="104"/>
      <c r="F665" s="104"/>
    </row>
    <row r="666" spans="1:6">
      <c r="A666" s="93"/>
      <c r="B666" s="93"/>
      <c r="C666" s="103"/>
      <c r="D666" s="104"/>
      <c r="E666" s="104"/>
      <c r="F666" s="104"/>
    </row>
    <row r="667" spans="1:6">
      <c r="A667" s="93"/>
      <c r="B667" s="93"/>
      <c r="C667" s="103"/>
      <c r="D667" s="104"/>
      <c r="E667" s="104"/>
      <c r="F667" s="104"/>
    </row>
    <row r="668" spans="1:6">
      <c r="A668" s="93"/>
      <c r="B668" s="93"/>
      <c r="C668" s="103"/>
      <c r="D668" s="104"/>
      <c r="E668" s="104"/>
      <c r="F668" s="104"/>
    </row>
    <row r="669" spans="1:6">
      <c r="A669" s="93"/>
      <c r="B669" s="93"/>
      <c r="C669" s="103"/>
      <c r="D669" s="104"/>
      <c r="E669" s="104"/>
      <c r="F669" s="104"/>
    </row>
    <row r="670" spans="1:6">
      <c r="A670" s="93"/>
      <c r="B670" s="93"/>
      <c r="C670" s="103"/>
      <c r="D670" s="104"/>
      <c r="E670" s="104"/>
      <c r="F670" s="104"/>
    </row>
    <row r="671" spans="1:6">
      <c r="A671" s="93"/>
      <c r="B671" s="93"/>
      <c r="C671" s="103"/>
      <c r="D671" s="104"/>
      <c r="E671" s="104"/>
      <c r="F671" s="104"/>
    </row>
    <row r="672" spans="1:6">
      <c r="A672" s="93"/>
      <c r="B672" s="93"/>
      <c r="C672" s="103"/>
      <c r="D672" s="104"/>
      <c r="E672" s="104"/>
      <c r="F672" s="104"/>
    </row>
    <row r="673" spans="1:6">
      <c r="A673" s="93"/>
      <c r="B673" s="93"/>
      <c r="C673" s="103"/>
      <c r="D673" s="104"/>
      <c r="E673" s="104"/>
      <c r="F673" s="104"/>
    </row>
    <row r="674" spans="1:6">
      <c r="A674" s="93"/>
      <c r="B674" s="93"/>
      <c r="C674" s="103"/>
      <c r="D674" s="104"/>
      <c r="E674" s="104"/>
      <c r="F674" s="104"/>
    </row>
    <row r="675" spans="1:6">
      <c r="A675" s="93"/>
      <c r="B675" s="93"/>
      <c r="C675" s="103"/>
      <c r="D675" s="104"/>
      <c r="E675" s="104"/>
      <c r="F675" s="104"/>
    </row>
    <row r="676" spans="1:6">
      <c r="A676" s="93"/>
      <c r="B676" s="93"/>
      <c r="C676" s="103"/>
      <c r="D676" s="104"/>
      <c r="E676" s="104"/>
      <c r="F676" s="104"/>
    </row>
    <row r="677" spans="1:6">
      <c r="A677" s="93"/>
      <c r="B677" s="93"/>
      <c r="C677" s="103"/>
      <c r="D677" s="104"/>
      <c r="E677" s="104"/>
      <c r="F677" s="104"/>
    </row>
    <row r="678" spans="1:6">
      <c r="A678" s="93"/>
      <c r="B678" s="93"/>
      <c r="C678" s="103"/>
      <c r="D678" s="104"/>
      <c r="E678" s="104"/>
      <c r="F678" s="104"/>
    </row>
    <row r="679" spans="1:6">
      <c r="A679" s="93"/>
      <c r="B679" s="93"/>
      <c r="C679" s="103"/>
      <c r="D679" s="104"/>
      <c r="E679" s="104"/>
      <c r="F679" s="104"/>
    </row>
    <row r="680" spans="1:6">
      <c r="A680" s="93"/>
      <c r="B680" s="93"/>
      <c r="C680" s="103"/>
      <c r="D680" s="104"/>
      <c r="E680" s="104"/>
      <c r="F680" s="104"/>
    </row>
    <row r="681" spans="1:6">
      <c r="A681" s="93"/>
      <c r="B681" s="93"/>
      <c r="C681" s="103"/>
      <c r="D681" s="104"/>
      <c r="E681" s="104"/>
      <c r="F681" s="104"/>
    </row>
    <row r="682" spans="1:6">
      <c r="A682" s="93"/>
      <c r="B682" s="93"/>
      <c r="C682" s="103"/>
      <c r="D682" s="104"/>
      <c r="E682" s="104"/>
      <c r="F682" s="104"/>
    </row>
    <row r="683" spans="1:6">
      <c r="A683" s="93"/>
      <c r="B683" s="93"/>
      <c r="C683" s="103"/>
      <c r="D683" s="104"/>
      <c r="E683" s="104"/>
      <c r="F683" s="104"/>
    </row>
    <row r="684" spans="1:6">
      <c r="A684" s="93"/>
      <c r="B684" s="93"/>
      <c r="C684" s="103"/>
      <c r="D684" s="104"/>
      <c r="E684" s="104"/>
      <c r="F684" s="104"/>
    </row>
    <row r="685" spans="1:6">
      <c r="A685" s="93"/>
      <c r="B685" s="93"/>
      <c r="C685" s="103"/>
      <c r="D685" s="104"/>
      <c r="E685" s="104"/>
      <c r="F685" s="104"/>
    </row>
    <row r="686" spans="1:6">
      <c r="A686" s="93"/>
      <c r="B686" s="93"/>
      <c r="C686" s="103"/>
      <c r="D686" s="104"/>
      <c r="E686" s="104"/>
      <c r="F686" s="104"/>
    </row>
    <row r="687" spans="1:6">
      <c r="A687" s="93"/>
      <c r="B687" s="93"/>
      <c r="C687" s="103"/>
      <c r="D687" s="104"/>
      <c r="E687" s="104"/>
      <c r="F687" s="104"/>
    </row>
    <row r="688" spans="1:6">
      <c r="A688" s="93"/>
      <c r="B688" s="93"/>
      <c r="C688" s="103"/>
      <c r="D688" s="104"/>
      <c r="E688" s="104"/>
      <c r="F688" s="104"/>
    </row>
    <row r="689" spans="1:6">
      <c r="A689" s="93"/>
      <c r="B689" s="93"/>
      <c r="C689" s="103"/>
      <c r="D689" s="104"/>
      <c r="E689" s="104"/>
      <c r="F689" s="104"/>
    </row>
    <row r="690" spans="1:6">
      <c r="A690" s="93"/>
      <c r="B690" s="93"/>
      <c r="C690" s="103"/>
      <c r="D690" s="104"/>
      <c r="E690" s="104"/>
      <c r="F690" s="104"/>
    </row>
    <row r="691" spans="1:6">
      <c r="A691" s="93"/>
      <c r="B691" s="93"/>
      <c r="C691" s="103"/>
      <c r="D691" s="104"/>
      <c r="E691" s="104"/>
      <c r="F691" s="104"/>
    </row>
    <row r="692" spans="1:6">
      <c r="A692" s="93"/>
      <c r="B692" s="93"/>
      <c r="C692" s="103"/>
      <c r="D692" s="104"/>
      <c r="E692" s="104"/>
      <c r="F692" s="104"/>
    </row>
    <row r="693" spans="1:6">
      <c r="A693" s="93"/>
      <c r="B693" s="93"/>
      <c r="C693" s="103"/>
      <c r="D693" s="104"/>
      <c r="E693" s="104"/>
      <c r="F693" s="104"/>
    </row>
    <row r="694" spans="1:6">
      <c r="A694" s="93"/>
      <c r="B694" s="93"/>
      <c r="C694" s="103"/>
      <c r="D694" s="104"/>
      <c r="E694" s="104"/>
      <c r="F694" s="104"/>
    </row>
    <row r="695" spans="1:6">
      <c r="A695" s="93"/>
      <c r="B695" s="93"/>
      <c r="C695" s="103"/>
      <c r="D695" s="104"/>
      <c r="E695" s="104"/>
      <c r="F695" s="104"/>
    </row>
    <row r="696" spans="1:6">
      <c r="A696" s="93"/>
      <c r="B696" s="93"/>
      <c r="C696" s="103"/>
      <c r="D696" s="104"/>
      <c r="E696" s="104"/>
      <c r="F696" s="104"/>
    </row>
    <row r="697" spans="1:6">
      <c r="A697" s="93"/>
      <c r="B697" s="93"/>
      <c r="C697" s="103"/>
      <c r="D697" s="104"/>
      <c r="E697" s="104"/>
      <c r="F697" s="104"/>
    </row>
    <row r="698" spans="1:6">
      <c r="A698" s="93"/>
      <c r="B698" s="93"/>
      <c r="C698" s="103"/>
      <c r="D698" s="104"/>
      <c r="E698" s="104"/>
      <c r="F698" s="104"/>
    </row>
    <row r="699" spans="1:6">
      <c r="A699" s="93"/>
      <c r="B699" s="93"/>
      <c r="C699" s="103"/>
      <c r="D699" s="104"/>
      <c r="E699" s="104"/>
      <c r="F699" s="104"/>
    </row>
    <row r="700" spans="1:6">
      <c r="A700" s="93"/>
      <c r="B700" s="93"/>
      <c r="C700" s="103"/>
      <c r="D700" s="104"/>
      <c r="E700" s="104"/>
      <c r="F700" s="104"/>
    </row>
    <row r="701" spans="1:6">
      <c r="A701" s="93"/>
      <c r="B701" s="93"/>
      <c r="C701" s="103"/>
      <c r="D701" s="104"/>
      <c r="E701" s="104"/>
      <c r="F701" s="104"/>
    </row>
    <row r="702" spans="1:6">
      <c r="A702" s="93"/>
      <c r="B702" s="93"/>
      <c r="C702" s="103"/>
      <c r="D702" s="104"/>
      <c r="E702" s="104"/>
      <c r="F702" s="104"/>
    </row>
    <row r="703" spans="1:6">
      <c r="A703" s="93"/>
      <c r="B703" s="93"/>
      <c r="C703" s="103"/>
      <c r="D703" s="104"/>
      <c r="E703" s="104"/>
      <c r="F703" s="104"/>
    </row>
    <row r="704" spans="1:6">
      <c r="A704" s="93"/>
      <c r="B704" s="93"/>
      <c r="C704" s="103"/>
      <c r="D704" s="104"/>
      <c r="E704" s="104"/>
      <c r="F704" s="104"/>
    </row>
    <row r="705" spans="1:6">
      <c r="A705" s="93"/>
      <c r="B705" s="93"/>
      <c r="C705" s="103"/>
      <c r="D705" s="104"/>
      <c r="E705" s="104"/>
      <c r="F705" s="104"/>
    </row>
    <row r="706" spans="1:6">
      <c r="A706" s="93"/>
      <c r="B706" s="93"/>
      <c r="C706" s="103"/>
      <c r="D706" s="104"/>
      <c r="E706" s="104"/>
      <c r="F706" s="104"/>
    </row>
    <row r="707" spans="1:6">
      <c r="A707" s="93"/>
      <c r="B707" s="93"/>
      <c r="C707" s="103"/>
      <c r="D707" s="104"/>
      <c r="E707" s="104"/>
      <c r="F707" s="104"/>
    </row>
    <row r="708" spans="1:6">
      <c r="A708" s="93"/>
      <c r="B708" s="93"/>
      <c r="C708" s="103"/>
      <c r="D708" s="104"/>
      <c r="E708" s="104"/>
      <c r="F708" s="104"/>
    </row>
    <row r="709" spans="1:6">
      <c r="A709" s="93"/>
      <c r="B709" s="93"/>
      <c r="C709" s="103"/>
      <c r="D709" s="104"/>
      <c r="E709" s="104"/>
      <c r="F709" s="104"/>
    </row>
    <row r="710" spans="1:6">
      <c r="A710" s="93"/>
      <c r="B710" s="93"/>
      <c r="C710" s="103"/>
      <c r="D710" s="104"/>
      <c r="E710" s="104"/>
      <c r="F710" s="104"/>
    </row>
    <row r="711" spans="1:6">
      <c r="A711" s="93"/>
      <c r="B711" s="93"/>
      <c r="C711" s="103"/>
      <c r="D711" s="104"/>
      <c r="E711" s="104"/>
      <c r="F711" s="104"/>
    </row>
    <row r="712" spans="1:6">
      <c r="A712" s="93"/>
      <c r="B712" s="93"/>
      <c r="C712" s="103"/>
      <c r="D712" s="104"/>
      <c r="E712" s="104"/>
      <c r="F712" s="104"/>
    </row>
    <row r="713" spans="1:6">
      <c r="A713" s="93"/>
      <c r="B713" s="93"/>
      <c r="C713" s="103"/>
      <c r="D713" s="104"/>
      <c r="E713" s="104"/>
      <c r="F713" s="104"/>
    </row>
    <row r="714" spans="1:6">
      <c r="A714" s="93"/>
      <c r="B714" s="93"/>
      <c r="C714" s="103"/>
      <c r="D714" s="104"/>
      <c r="E714" s="104"/>
      <c r="F714" s="104"/>
    </row>
    <row r="715" spans="1:6">
      <c r="A715" s="93"/>
      <c r="B715" s="93"/>
      <c r="C715" s="103"/>
      <c r="D715" s="104"/>
      <c r="E715" s="104"/>
      <c r="F715" s="104"/>
    </row>
    <row r="716" spans="1:6">
      <c r="A716" s="93"/>
      <c r="B716" s="93"/>
      <c r="C716" s="103"/>
      <c r="D716" s="104"/>
      <c r="E716" s="104"/>
      <c r="F716" s="104"/>
    </row>
    <row r="717" spans="1:6">
      <c r="A717" s="93"/>
      <c r="B717" s="93"/>
      <c r="C717" s="103"/>
      <c r="D717" s="104"/>
      <c r="E717" s="104"/>
      <c r="F717" s="104"/>
    </row>
    <row r="718" spans="1:6">
      <c r="A718" s="93"/>
      <c r="B718" s="93"/>
      <c r="C718" s="103"/>
      <c r="D718" s="104"/>
      <c r="E718" s="104"/>
      <c r="F718" s="104"/>
    </row>
    <row r="719" spans="1:6">
      <c r="A719" s="93"/>
      <c r="B719" s="93"/>
      <c r="C719" s="103"/>
      <c r="D719" s="104"/>
      <c r="E719" s="104"/>
      <c r="F719" s="104"/>
    </row>
    <row r="720" spans="1:6">
      <c r="A720" s="93"/>
      <c r="B720" s="93"/>
      <c r="C720" s="103"/>
      <c r="D720" s="104"/>
      <c r="E720" s="104"/>
      <c r="F720" s="104"/>
    </row>
    <row r="721" spans="1:6">
      <c r="A721" s="93"/>
      <c r="B721" s="93"/>
      <c r="C721" s="103"/>
      <c r="D721" s="104"/>
      <c r="E721" s="104"/>
      <c r="F721" s="104"/>
    </row>
    <row r="722" spans="1:6">
      <c r="A722" s="93"/>
      <c r="B722" s="93"/>
      <c r="C722" s="103"/>
      <c r="D722" s="104"/>
      <c r="E722" s="104"/>
      <c r="F722" s="104"/>
    </row>
    <row r="723" spans="1:6">
      <c r="A723" s="93"/>
      <c r="B723" s="93"/>
      <c r="C723" s="103"/>
      <c r="D723" s="104"/>
      <c r="E723" s="104"/>
      <c r="F723" s="104"/>
    </row>
    <row r="724" spans="1:6">
      <c r="A724" s="93"/>
      <c r="B724" s="93"/>
      <c r="C724" s="103"/>
      <c r="D724" s="104"/>
      <c r="E724" s="104"/>
      <c r="F724" s="104"/>
    </row>
    <row r="725" spans="1:6">
      <c r="A725" s="93"/>
      <c r="B725" s="93"/>
      <c r="C725" s="103"/>
      <c r="D725" s="104"/>
      <c r="E725" s="104"/>
      <c r="F725" s="104"/>
    </row>
    <row r="726" spans="1:6">
      <c r="A726" s="93"/>
      <c r="B726" s="93"/>
      <c r="C726" s="103"/>
      <c r="D726" s="104"/>
      <c r="E726" s="104"/>
      <c r="F726" s="104"/>
    </row>
    <row r="727" spans="1:6">
      <c r="A727" s="93"/>
      <c r="B727" s="93"/>
      <c r="C727" s="103"/>
      <c r="D727" s="104"/>
      <c r="E727" s="104"/>
      <c r="F727" s="104"/>
    </row>
    <row r="728" spans="1:6">
      <c r="A728" s="93"/>
      <c r="B728" s="93"/>
      <c r="C728" s="103"/>
      <c r="D728" s="104"/>
      <c r="E728" s="104"/>
      <c r="F728" s="104"/>
    </row>
    <row r="729" spans="1:6">
      <c r="A729" s="93"/>
      <c r="B729" s="93"/>
      <c r="C729" s="103"/>
      <c r="D729" s="104"/>
      <c r="E729" s="104"/>
      <c r="F729" s="104"/>
    </row>
    <row r="730" spans="1:6">
      <c r="A730" s="93"/>
      <c r="B730" s="93"/>
      <c r="C730" s="103"/>
      <c r="D730" s="104"/>
      <c r="E730" s="104"/>
      <c r="F730" s="104"/>
    </row>
    <row r="731" spans="1:6">
      <c r="A731" s="93"/>
      <c r="B731" s="93"/>
      <c r="C731" s="103"/>
      <c r="D731" s="104"/>
      <c r="E731" s="104"/>
      <c r="F731" s="104"/>
    </row>
    <row r="732" spans="1:6">
      <c r="A732" s="93"/>
      <c r="B732" s="93"/>
      <c r="C732" s="103"/>
      <c r="D732" s="104"/>
      <c r="E732" s="104"/>
      <c r="F732" s="104"/>
    </row>
    <row r="733" spans="1:6">
      <c r="A733" s="93"/>
      <c r="B733" s="93"/>
      <c r="C733" s="103"/>
      <c r="D733" s="104"/>
      <c r="E733" s="104"/>
      <c r="F733" s="104"/>
    </row>
    <row r="734" spans="1:6">
      <c r="A734" s="93"/>
      <c r="B734" s="93"/>
      <c r="C734" s="103"/>
      <c r="D734" s="104"/>
      <c r="E734" s="104"/>
      <c r="F734" s="104"/>
    </row>
    <row r="735" spans="1:6">
      <c r="A735" s="93"/>
      <c r="B735" s="93"/>
      <c r="C735" s="103"/>
      <c r="D735" s="104"/>
      <c r="E735" s="104"/>
      <c r="F735" s="104"/>
    </row>
    <row r="736" spans="1:6">
      <c r="A736" s="93"/>
      <c r="B736" s="93"/>
      <c r="C736" s="103"/>
      <c r="D736" s="104"/>
      <c r="E736" s="104"/>
      <c r="F736" s="104"/>
    </row>
    <row r="737" spans="1:6">
      <c r="A737" s="93"/>
      <c r="B737" s="93"/>
      <c r="C737" s="103"/>
      <c r="D737" s="104"/>
      <c r="E737" s="104"/>
      <c r="F737" s="104"/>
    </row>
    <row r="738" spans="1:6">
      <c r="A738" s="93"/>
      <c r="B738" s="93"/>
      <c r="C738" s="103"/>
      <c r="D738" s="104"/>
      <c r="E738" s="104"/>
      <c r="F738" s="104"/>
    </row>
    <row r="739" spans="1:6">
      <c r="A739" s="93"/>
      <c r="B739" s="93"/>
      <c r="C739" s="103"/>
      <c r="D739" s="104"/>
      <c r="E739" s="104"/>
      <c r="F739" s="104"/>
    </row>
    <row r="740" spans="1:6">
      <c r="A740" s="93"/>
      <c r="B740" s="93"/>
      <c r="C740" s="103"/>
      <c r="D740" s="104"/>
      <c r="E740" s="104"/>
      <c r="F740" s="104"/>
    </row>
    <row r="741" spans="1:6">
      <c r="A741" s="93"/>
      <c r="B741" s="93"/>
      <c r="C741" s="103"/>
      <c r="D741" s="104"/>
      <c r="E741" s="104"/>
      <c r="F741" s="104"/>
    </row>
    <row r="742" spans="1:6">
      <c r="A742" s="93"/>
      <c r="B742" s="93"/>
      <c r="C742" s="103"/>
      <c r="D742" s="104"/>
      <c r="E742" s="104"/>
      <c r="F742" s="104"/>
    </row>
    <row r="743" spans="1:6">
      <c r="A743" s="93"/>
      <c r="B743" s="93"/>
      <c r="C743" s="103"/>
      <c r="D743" s="104"/>
      <c r="E743" s="104"/>
      <c r="F743" s="104"/>
    </row>
    <row r="744" spans="1:6">
      <c r="A744" s="93"/>
      <c r="B744" s="93"/>
      <c r="C744" s="103"/>
      <c r="D744" s="104"/>
      <c r="E744" s="104"/>
      <c r="F744" s="104"/>
    </row>
    <row r="745" spans="1:6">
      <c r="A745" s="93"/>
      <c r="B745" s="93"/>
      <c r="C745" s="103"/>
      <c r="D745" s="104"/>
      <c r="E745" s="104"/>
      <c r="F745" s="104"/>
    </row>
    <row r="746" spans="1:6">
      <c r="A746" s="93"/>
      <c r="B746" s="93"/>
      <c r="C746" s="103"/>
      <c r="D746" s="104"/>
      <c r="E746" s="104"/>
      <c r="F746" s="104"/>
    </row>
    <row r="747" spans="1:6">
      <c r="A747" s="93"/>
      <c r="B747" s="93"/>
      <c r="C747" s="103"/>
      <c r="D747" s="104"/>
      <c r="E747" s="104"/>
      <c r="F747" s="104"/>
    </row>
    <row r="748" spans="1:6">
      <c r="A748" s="93"/>
      <c r="B748" s="93"/>
      <c r="C748" s="103"/>
      <c r="D748" s="104"/>
      <c r="E748" s="104"/>
      <c r="F748" s="104"/>
    </row>
    <row r="749" spans="1:6">
      <c r="A749" s="93"/>
      <c r="B749" s="93"/>
      <c r="C749" s="103"/>
      <c r="D749" s="104"/>
      <c r="E749" s="104"/>
      <c r="F749" s="104"/>
    </row>
    <row r="750" spans="1:6">
      <c r="A750" s="93"/>
      <c r="B750" s="93"/>
      <c r="C750" s="103"/>
      <c r="D750" s="104"/>
      <c r="E750" s="104"/>
      <c r="F750" s="104"/>
    </row>
    <row r="751" spans="1:6">
      <c r="A751" s="93"/>
      <c r="B751" s="93"/>
      <c r="C751" s="103"/>
      <c r="D751" s="104"/>
      <c r="E751" s="104"/>
      <c r="F751" s="104"/>
    </row>
    <row r="752" spans="1:6">
      <c r="A752" s="93"/>
      <c r="B752" s="93"/>
      <c r="C752" s="103"/>
      <c r="D752" s="104"/>
      <c r="E752" s="104"/>
      <c r="F752" s="104"/>
    </row>
    <row r="753" spans="1:6">
      <c r="A753" s="93"/>
      <c r="B753" s="93"/>
      <c r="C753" s="103"/>
      <c r="D753" s="104"/>
      <c r="E753" s="104"/>
      <c r="F753" s="104"/>
    </row>
    <row r="754" spans="1:6">
      <c r="A754" s="93"/>
      <c r="B754" s="93"/>
      <c r="C754" s="103"/>
      <c r="D754" s="104"/>
      <c r="E754" s="104"/>
      <c r="F754" s="104"/>
    </row>
    <row r="755" spans="1:6">
      <c r="A755" s="93"/>
      <c r="B755" s="93"/>
      <c r="C755" s="103"/>
      <c r="D755" s="104"/>
      <c r="E755" s="104"/>
      <c r="F755" s="104"/>
    </row>
    <row r="756" spans="1:6">
      <c r="A756" s="93"/>
      <c r="B756" s="93"/>
      <c r="C756" s="103"/>
      <c r="D756" s="104"/>
      <c r="E756" s="104"/>
      <c r="F756" s="104"/>
    </row>
    <row r="757" spans="1:6">
      <c r="A757" s="93"/>
      <c r="B757" s="93"/>
      <c r="C757" s="103"/>
      <c r="D757" s="104"/>
      <c r="E757" s="104"/>
      <c r="F757" s="104"/>
    </row>
    <row r="758" spans="1:6">
      <c r="A758" s="93"/>
      <c r="B758" s="93"/>
      <c r="C758" s="103"/>
      <c r="D758" s="104"/>
      <c r="E758" s="104"/>
      <c r="F758" s="104"/>
    </row>
    <row r="759" spans="1:6">
      <c r="A759" s="93"/>
      <c r="B759" s="93"/>
      <c r="C759" s="103"/>
      <c r="D759" s="104"/>
      <c r="E759" s="104"/>
      <c r="F759" s="104"/>
    </row>
    <row r="760" spans="1:6">
      <c r="A760" s="93"/>
      <c r="B760" s="93"/>
      <c r="C760" s="103"/>
      <c r="D760" s="104"/>
      <c r="E760" s="104"/>
      <c r="F760" s="104"/>
    </row>
    <row r="761" spans="1:6">
      <c r="A761" s="93"/>
      <c r="B761" s="93"/>
      <c r="C761" s="103"/>
      <c r="D761" s="104"/>
      <c r="E761" s="104"/>
      <c r="F761" s="104"/>
    </row>
    <row r="762" spans="1:6">
      <c r="A762" s="93"/>
      <c r="B762" s="93"/>
      <c r="C762" s="103"/>
      <c r="D762" s="104"/>
      <c r="E762" s="104"/>
      <c r="F762" s="104"/>
    </row>
    <row r="763" spans="1:6">
      <c r="A763" s="93"/>
      <c r="B763" s="93"/>
      <c r="C763" s="103"/>
      <c r="D763" s="104"/>
      <c r="E763" s="104"/>
      <c r="F763" s="104"/>
    </row>
    <row r="764" spans="1:6">
      <c r="A764" s="93"/>
      <c r="B764" s="93"/>
      <c r="C764" s="103"/>
      <c r="D764" s="104"/>
      <c r="E764" s="104"/>
      <c r="F764" s="104"/>
    </row>
    <row r="765" spans="1:6">
      <c r="A765" s="93"/>
      <c r="B765" s="93"/>
      <c r="C765" s="103"/>
      <c r="D765" s="104"/>
      <c r="E765" s="104"/>
      <c r="F765" s="104"/>
    </row>
    <row r="766" spans="1:6">
      <c r="A766" s="93"/>
      <c r="B766" s="93"/>
      <c r="C766" s="103"/>
      <c r="D766" s="104"/>
      <c r="E766" s="104"/>
      <c r="F766" s="104"/>
    </row>
    <row r="767" spans="1:6">
      <c r="A767" s="93"/>
      <c r="B767" s="93"/>
      <c r="C767" s="103"/>
      <c r="D767" s="104"/>
      <c r="E767" s="104"/>
      <c r="F767" s="104"/>
    </row>
    <row r="768" spans="1:6">
      <c r="A768" s="93"/>
      <c r="B768" s="93"/>
      <c r="C768" s="103"/>
      <c r="D768" s="104"/>
      <c r="E768" s="104"/>
      <c r="F768" s="104"/>
    </row>
    <row r="769" spans="1:6">
      <c r="A769" s="93"/>
      <c r="B769" s="93"/>
      <c r="C769" s="103"/>
      <c r="D769" s="104"/>
      <c r="E769" s="104"/>
      <c r="F769" s="104"/>
    </row>
    <row r="770" spans="1:6">
      <c r="A770" s="93"/>
      <c r="B770" s="93"/>
      <c r="C770" s="103"/>
      <c r="D770" s="104"/>
      <c r="E770" s="104"/>
      <c r="F770" s="104"/>
    </row>
    <row r="771" spans="1:6">
      <c r="A771" s="93"/>
      <c r="B771" s="93"/>
      <c r="C771" s="103"/>
      <c r="D771" s="104"/>
      <c r="E771" s="104"/>
      <c r="F771" s="104"/>
    </row>
    <row r="772" spans="1:6">
      <c r="A772" s="93"/>
      <c r="B772" s="93"/>
      <c r="C772" s="103"/>
      <c r="D772" s="104"/>
      <c r="E772" s="104"/>
      <c r="F772" s="104"/>
    </row>
    <row r="773" spans="1:6">
      <c r="A773" s="93"/>
      <c r="B773" s="93"/>
      <c r="C773" s="103"/>
      <c r="D773" s="104"/>
      <c r="E773" s="104"/>
      <c r="F773" s="104"/>
    </row>
    <row r="774" spans="1:6">
      <c r="A774" s="93"/>
      <c r="B774" s="93"/>
      <c r="C774" s="103"/>
      <c r="D774" s="104"/>
      <c r="E774" s="104"/>
      <c r="F774" s="104"/>
    </row>
    <row r="775" spans="1:6">
      <c r="A775" s="93"/>
      <c r="B775" s="93"/>
      <c r="C775" s="103"/>
      <c r="D775" s="104"/>
      <c r="E775" s="104"/>
      <c r="F775" s="104"/>
    </row>
    <row r="776" spans="1:6">
      <c r="A776" s="93"/>
      <c r="B776" s="93"/>
      <c r="C776" s="103"/>
      <c r="D776" s="104"/>
      <c r="E776" s="104"/>
      <c r="F776" s="104"/>
    </row>
    <row r="777" spans="1:6">
      <c r="A777" s="93"/>
      <c r="B777" s="93"/>
      <c r="C777" s="103"/>
      <c r="D777" s="104"/>
      <c r="E777" s="104"/>
      <c r="F777" s="104"/>
    </row>
    <row r="778" spans="1:6">
      <c r="A778" s="93"/>
      <c r="B778" s="93"/>
      <c r="C778" s="103"/>
      <c r="D778" s="104"/>
      <c r="E778" s="104"/>
      <c r="F778" s="104"/>
    </row>
    <row r="779" spans="1:6">
      <c r="A779" s="93"/>
      <c r="B779" s="93"/>
      <c r="C779" s="103"/>
      <c r="D779" s="104"/>
      <c r="E779" s="104"/>
      <c r="F779" s="104"/>
    </row>
    <row r="780" spans="1:6">
      <c r="A780" s="93"/>
      <c r="B780" s="93"/>
      <c r="C780" s="103"/>
      <c r="D780" s="104"/>
      <c r="E780" s="104"/>
      <c r="F780" s="104"/>
    </row>
    <row r="781" spans="1:6">
      <c r="A781" s="93"/>
      <c r="B781" s="93"/>
      <c r="C781" s="103"/>
      <c r="D781" s="104"/>
      <c r="E781" s="104"/>
      <c r="F781" s="104"/>
    </row>
    <row r="782" spans="1:6">
      <c r="A782" s="93"/>
      <c r="B782" s="93"/>
      <c r="C782" s="103"/>
      <c r="D782" s="104"/>
      <c r="E782" s="104"/>
      <c r="F782" s="104"/>
    </row>
    <row r="783" spans="1:6">
      <c r="A783" s="93"/>
      <c r="B783" s="93"/>
      <c r="C783" s="103"/>
      <c r="D783" s="104"/>
      <c r="E783" s="104"/>
      <c r="F783" s="104"/>
    </row>
    <row r="784" spans="1:6">
      <c r="A784" s="93"/>
      <c r="B784" s="93"/>
      <c r="C784" s="103"/>
      <c r="D784" s="104"/>
      <c r="E784" s="104"/>
      <c r="F784" s="104"/>
    </row>
    <row r="785" spans="1:6">
      <c r="A785" s="93"/>
      <c r="B785" s="93"/>
      <c r="C785" s="103"/>
      <c r="D785" s="104"/>
      <c r="E785" s="104"/>
      <c r="F785" s="104"/>
    </row>
    <row r="786" spans="1:6">
      <c r="A786" s="93"/>
      <c r="B786" s="93"/>
      <c r="C786" s="103"/>
      <c r="D786" s="104"/>
      <c r="E786" s="104"/>
      <c r="F786" s="104"/>
    </row>
    <row r="787" spans="1:6">
      <c r="A787" s="93"/>
      <c r="B787" s="93"/>
      <c r="C787" s="103"/>
      <c r="D787" s="104"/>
      <c r="E787" s="104"/>
      <c r="F787" s="104"/>
    </row>
    <row r="788" spans="1:6">
      <c r="A788" s="93"/>
      <c r="B788" s="93"/>
      <c r="C788" s="103"/>
      <c r="D788" s="104"/>
      <c r="E788" s="104"/>
      <c r="F788" s="104"/>
    </row>
    <row r="789" spans="1:6">
      <c r="A789" s="93"/>
      <c r="B789" s="93"/>
      <c r="C789" s="103"/>
      <c r="D789" s="104"/>
      <c r="E789" s="104"/>
      <c r="F789" s="104"/>
    </row>
    <row r="790" spans="1:6">
      <c r="A790" s="93"/>
      <c r="B790" s="93"/>
      <c r="C790" s="103"/>
      <c r="D790" s="104"/>
      <c r="E790" s="104"/>
      <c r="F790" s="104"/>
    </row>
    <row r="791" spans="1:6">
      <c r="A791" s="93"/>
      <c r="B791" s="93"/>
      <c r="C791" s="103"/>
      <c r="D791" s="104"/>
      <c r="E791" s="104"/>
      <c r="F791" s="104"/>
    </row>
    <row r="792" spans="1:6">
      <c r="A792" s="93"/>
      <c r="B792" s="93"/>
      <c r="C792" s="103"/>
      <c r="D792" s="104"/>
      <c r="E792" s="104"/>
      <c r="F792" s="104"/>
    </row>
    <row r="793" spans="1:6">
      <c r="A793" s="93"/>
      <c r="B793" s="93"/>
      <c r="C793" s="103"/>
      <c r="D793" s="104"/>
      <c r="E793" s="104"/>
      <c r="F793" s="104"/>
    </row>
    <row r="794" spans="1:6">
      <c r="A794" s="93"/>
      <c r="B794" s="93"/>
      <c r="C794" s="103"/>
      <c r="D794" s="104"/>
      <c r="E794" s="104"/>
      <c r="F794" s="104"/>
    </row>
    <row r="795" spans="1:6">
      <c r="A795" s="93"/>
      <c r="B795" s="93"/>
      <c r="C795" s="103"/>
      <c r="D795" s="104"/>
      <c r="E795" s="104"/>
      <c r="F795" s="104"/>
    </row>
    <row r="796" spans="1:6">
      <c r="A796" s="93"/>
      <c r="B796" s="93"/>
      <c r="C796" s="103"/>
      <c r="D796" s="104"/>
      <c r="E796" s="104"/>
      <c r="F796" s="104"/>
    </row>
    <row r="797" spans="1:6">
      <c r="A797" s="93"/>
      <c r="B797" s="93"/>
      <c r="C797" s="103"/>
      <c r="D797" s="104"/>
      <c r="E797" s="104"/>
      <c r="F797" s="104"/>
    </row>
    <row r="798" spans="1:6">
      <c r="A798" s="93"/>
      <c r="B798" s="93"/>
      <c r="C798" s="103"/>
      <c r="D798" s="104"/>
      <c r="E798" s="104"/>
      <c r="F798" s="104"/>
    </row>
    <row r="799" spans="1:6">
      <c r="A799" s="93"/>
      <c r="B799" s="93"/>
      <c r="C799" s="103"/>
      <c r="D799" s="104"/>
      <c r="E799" s="104"/>
      <c r="F799" s="104"/>
    </row>
    <row r="800" spans="1:6">
      <c r="A800" s="93"/>
      <c r="B800" s="93"/>
      <c r="C800" s="103"/>
      <c r="D800" s="104"/>
      <c r="E800" s="104"/>
      <c r="F800" s="104"/>
    </row>
    <row r="801" spans="1:6">
      <c r="A801" s="93"/>
      <c r="B801" s="93"/>
      <c r="C801" s="103"/>
      <c r="D801" s="104"/>
      <c r="E801" s="104"/>
      <c r="F801" s="104"/>
    </row>
    <row r="802" spans="1:6">
      <c r="A802" s="93"/>
      <c r="B802" s="93"/>
      <c r="C802" s="103"/>
      <c r="D802" s="104"/>
      <c r="E802" s="104"/>
      <c r="F802" s="104"/>
    </row>
    <row r="803" spans="1:6">
      <c r="A803" s="93"/>
      <c r="B803" s="93"/>
      <c r="C803" s="103"/>
      <c r="D803" s="104"/>
      <c r="E803" s="104"/>
      <c r="F803" s="104"/>
    </row>
    <row r="804" spans="1:6">
      <c r="A804" s="93"/>
      <c r="B804" s="93"/>
      <c r="C804" s="103"/>
      <c r="D804" s="104"/>
      <c r="E804" s="104"/>
      <c r="F804" s="104"/>
    </row>
    <row r="805" spans="1:6">
      <c r="A805" s="93"/>
      <c r="B805" s="93"/>
      <c r="C805" s="103"/>
      <c r="D805" s="104"/>
      <c r="E805" s="104"/>
      <c r="F805" s="104"/>
    </row>
    <row r="806" spans="1:6">
      <c r="A806" s="93"/>
      <c r="B806" s="93"/>
      <c r="C806" s="103"/>
      <c r="D806" s="104"/>
      <c r="E806" s="104"/>
      <c r="F806" s="104"/>
    </row>
    <row r="807" spans="1:6">
      <c r="A807" s="93"/>
      <c r="B807" s="93"/>
      <c r="C807" s="103"/>
      <c r="D807" s="104"/>
      <c r="E807" s="104"/>
      <c r="F807" s="104"/>
    </row>
    <row r="808" spans="1:6">
      <c r="A808" s="93"/>
      <c r="B808" s="93"/>
      <c r="C808" s="103"/>
      <c r="D808" s="104"/>
      <c r="E808" s="104"/>
      <c r="F808" s="104"/>
    </row>
    <row r="809" spans="1:6">
      <c r="A809" s="93"/>
      <c r="B809" s="93"/>
      <c r="C809" s="103"/>
      <c r="D809" s="104"/>
      <c r="E809" s="104"/>
      <c r="F809" s="104"/>
    </row>
    <row r="810" spans="1:6">
      <c r="A810" s="93"/>
      <c r="B810" s="93"/>
      <c r="C810" s="103"/>
      <c r="D810" s="104"/>
      <c r="E810" s="104"/>
      <c r="F810" s="104"/>
    </row>
    <row r="811" spans="1:6">
      <c r="A811" s="93"/>
      <c r="B811" s="93"/>
      <c r="C811" s="103"/>
      <c r="D811" s="104"/>
      <c r="E811" s="104"/>
      <c r="F811" s="104"/>
    </row>
    <row r="812" spans="1:6">
      <c r="A812" s="93"/>
      <c r="B812" s="93"/>
      <c r="C812" s="103"/>
      <c r="D812" s="104"/>
      <c r="E812" s="104"/>
      <c r="F812" s="104"/>
    </row>
    <row r="813" spans="1:6">
      <c r="A813" s="93"/>
      <c r="B813" s="93"/>
      <c r="C813" s="103"/>
      <c r="D813" s="104"/>
      <c r="E813" s="104"/>
      <c r="F813" s="104"/>
    </row>
    <row r="814" spans="1:6">
      <c r="A814" s="93"/>
      <c r="B814" s="93"/>
      <c r="C814" s="103"/>
      <c r="D814" s="104"/>
      <c r="E814" s="104"/>
      <c r="F814" s="104"/>
    </row>
    <row r="815" spans="1:6">
      <c r="A815" s="93"/>
      <c r="B815" s="93"/>
      <c r="C815" s="103"/>
      <c r="D815" s="104"/>
      <c r="E815" s="104"/>
      <c r="F815" s="104"/>
    </row>
    <row r="816" spans="1:6">
      <c r="A816" s="93"/>
      <c r="B816" s="93"/>
      <c r="C816" s="103"/>
      <c r="D816" s="104"/>
      <c r="E816" s="104"/>
      <c r="F816" s="104"/>
    </row>
    <row r="817" spans="1:6">
      <c r="A817" s="93"/>
      <c r="B817" s="93"/>
      <c r="C817" s="103"/>
      <c r="D817" s="104"/>
      <c r="E817" s="104"/>
      <c r="F817" s="104"/>
    </row>
    <row r="818" spans="1:6">
      <c r="A818" s="93"/>
      <c r="B818" s="93"/>
      <c r="C818" s="103"/>
      <c r="D818" s="104"/>
      <c r="E818" s="104"/>
      <c r="F818" s="104"/>
    </row>
    <row r="819" spans="1:6">
      <c r="A819" s="93"/>
      <c r="B819" s="93"/>
      <c r="C819" s="103"/>
      <c r="D819" s="104"/>
      <c r="E819" s="104"/>
      <c r="F819" s="104"/>
    </row>
    <row r="820" spans="1:6">
      <c r="A820" s="93"/>
      <c r="B820" s="93"/>
      <c r="C820" s="103"/>
      <c r="D820" s="104"/>
      <c r="E820" s="104"/>
      <c r="F820" s="104"/>
    </row>
    <row r="821" spans="1:6">
      <c r="A821" s="93"/>
      <c r="B821" s="93"/>
      <c r="C821" s="103"/>
      <c r="D821" s="104"/>
      <c r="E821" s="104"/>
      <c r="F821" s="104"/>
    </row>
    <row r="822" spans="1:6">
      <c r="A822" s="93"/>
      <c r="B822" s="93"/>
      <c r="C822" s="103"/>
      <c r="D822" s="104"/>
      <c r="E822" s="104"/>
      <c r="F822" s="104"/>
    </row>
    <row r="823" spans="1:6">
      <c r="A823" s="93"/>
      <c r="B823" s="93"/>
      <c r="C823" s="103"/>
      <c r="D823" s="104"/>
      <c r="E823" s="104"/>
      <c r="F823" s="104"/>
    </row>
    <row r="824" spans="1:6">
      <c r="A824" s="93"/>
      <c r="B824" s="93"/>
      <c r="C824" s="103"/>
      <c r="D824" s="104"/>
      <c r="E824" s="104"/>
      <c r="F824" s="104"/>
    </row>
    <row r="825" spans="1:6">
      <c r="A825" s="93"/>
      <c r="B825" s="93"/>
      <c r="C825" s="103"/>
      <c r="D825" s="104"/>
      <c r="E825" s="104"/>
      <c r="F825" s="104"/>
    </row>
    <row r="826" spans="1:6">
      <c r="A826" s="93"/>
      <c r="B826" s="93"/>
      <c r="C826" s="103"/>
      <c r="D826" s="104"/>
      <c r="E826" s="104"/>
      <c r="F826" s="104"/>
    </row>
    <row r="827" spans="1:6">
      <c r="A827" s="93"/>
      <c r="B827" s="93"/>
      <c r="C827" s="103"/>
      <c r="D827" s="104"/>
      <c r="E827" s="104"/>
      <c r="F827" s="104"/>
    </row>
    <row r="828" spans="1:6">
      <c r="A828" s="93"/>
      <c r="B828" s="93"/>
      <c r="C828" s="103"/>
      <c r="D828" s="104"/>
      <c r="E828" s="104"/>
      <c r="F828" s="104"/>
    </row>
    <row r="829" spans="1:6">
      <c r="A829" s="93"/>
      <c r="B829" s="93"/>
      <c r="C829" s="103"/>
      <c r="D829" s="104"/>
      <c r="E829" s="104"/>
      <c r="F829" s="104"/>
    </row>
    <row r="830" spans="1:6">
      <c r="A830" s="93"/>
      <c r="B830" s="93"/>
      <c r="C830" s="103"/>
      <c r="D830" s="104"/>
      <c r="E830" s="104"/>
      <c r="F830" s="104"/>
    </row>
    <row r="831" spans="1:6">
      <c r="A831" s="93"/>
      <c r="B831" s="93"/>
      <c r="C831" s="103"/>
      <c r="D831" s="104"/>
      <c r="E831" s="104"/>
      <c r="F831" s="104"/>
    </row>
    <row r="832" spans="1:6">
      <c r="A832" s="93"/>
      <c r="B832" s="93"/>
      <c r="C832" s="103"/>
      <c r="D832" s="104"/>
      <c r="E832" s="104"/>
      <c r="F832" s="104"/>
    </row>
    <row r="833" spans="1:6">
      <c r="A833" s="93"/>
      <c r="B833" s="93"/>
      <c r="C833" s="103"/>
      <c r="D833" s="104"/>
      <c r="E833" s="104"/>
      <c r="F833" s="104"/>
    </row>
    <row r="834" spans="1:6">
      <c r="A834" s="93"/>
      <c r="B834" s="93"/>
      <c r="C834" s="103"/>
      <c r="D834" s="104"/>
      <c r="E834" s="104"/>
      <c r="F834" s="104"/>
    </row>
    <row r="835" spans="1:6">
      <c r="A835" s="93"/>
      <c r="B835" s="93"/>
      <c r="C835" s="103"/>
      <c r="D835" s="104"/>
      <c r="E835" s="104"/>
      <c r="F835" s="104"/>
    </row>
    <row r="836" spans="1:6">
      <c r="A836" s="93"/>
      <c r="B836" s="93"/>
      <c r="C836" s="103"/>
      <c r="D836" s="104"/>
      <c r="E836" s="104"/>
      <c r="F836" s="104"/>
    </row>
    <row r="837" spans="1:6">
      <c r="A837" s="93"/>
      <c r="B837" s="93"/>
      <c r="C837" s="103"/>
      <c r="D837" s="104"/>
      <c r="E837" s="104"/>
      <c r="F837" s="104"/>
    </row>
    <row r="838" spans="1:6">
      <c r="A838" s="93"/>
      <c r="B838" s="93"/>
      <c r="C838" s="103"/>
      <c r="D838" s="104"/>
      <c r="E838" s="104"/>
      <c r="F838" s="104"/>
    </row>
    <row r="839" spans="1:6">
      <c r="A839" s="93"/>
      <c r="B839" s="93"/>
      <c r="C839" s="103"/>
      <c r="D839" s="104"/>
      <c r="E839" s="104"/>
      <c r="F839" s="104"/>
    </row>
    <row r="840" spans="1:6">
      <c r="A840" s="93"/>
      <c r="B840" s="93"/>
      <c r="C840" s="103"/>
      <c r="D840" s="104"/>
      <c r="E840" s="104"/>
      <c r="F840" s="104"/>
    </row>
    <row r="841" spans="1:6">
      <c r="A841" s="93"/>
      <c r="B841" s="93"/>
      <c r="C841" s="103"/>
      <c r="D841" s="104"/>
      <c r="E841" s="104"/>
      <c r="F841" s="104"/>
    </row>
    <row r="842" spans="1:6">
      <c r="A842" s="93"/>
      <c r="B842" s="93"/>
      <c r="C842" s="103"/>
      <c r="D842" s="104"/>
      <c r="E842" s="104"/>
      <c r="F842" s="104"/>
    </row>
    <row r="843" spans="1:6">
      <c r="A843" s="93"/>
      <c r="B843" s="93"/>
      <c r="C843" s="103"/>
      <c r="D843" s="104"/>
      <c r="E843" s="104"/>
      <c r="F843" s="104"/>
    </row>
    <row r="844" spans="1:6">
      <c r="A844" s="93"/>
      <c r="B844" s="93"/>
      <c r="C844" s="103"/>
      <c r="D844" s="104"/>
      <c r="E844" s="104"/>
      <c r="F844" s="104"/>
    </row>
    <row r="845" spans="1:6">
      <c r="A845" s="93"/>
      <c r="B845" s="93"/>
      <c r="C845" s="103"/>
      <c r="D845" s="104"/>
      <c r="E845" s="104"/>
      <c r="F845" s="104"/>
    </row>
    <row r="846" spans="1:6">
      <c r="A846" s="93"/>
      <c r="B846" s="93"/>
      <c r="C846" s="103"/>
      <c r="D846" s="104"/>
      <c r="E846" s="104"/>
      <c r="F846" s="104"/>
    </row>
    <row r="847" spans="1:6">
      <c r="A847" s="93"/>
      <c r="B847" s="93"/>
      <c r="C847" s="103"/>
      <c r="D847" s="104"/>
      <c r="E847" s="104"/>
      <c r="F847" s="104"/>
    </row>
    <row r="848" spans="1:6">
      <c r="A848" s="93"/>
      <c r="B848" s="93"/>
      <c r="C848" s="103"/>
      <c r="D848" s="104"/>
      <c r="E848" s="104"/>
      <c r="F848" s="104"/>
    </row>
    <row r="849" spans="1:6">
      <c r="A849" s="93"/>
      <c r="B849" s="93"/>
      <c r="C849" s="103"/>
      <c r="D849" s="104"/>
      <c r="E849" s="104"/>
      <c r="F849" s="104"/>
    </row>
    <row r="850" spans="1:6">
      <c r="A850" s="93"/>
      <c r="B850" s="93"/>
      <c r="C850" s="103"/>
      <c r="D850" s="104"/>
      <c r="E850" s="104"/>
      <c r="F850" s="104"/>
    </row>
    <row r="851" spans="1:6">
      <c r="A851" s="93"/>
      <c r="B851" s="93"/>
      <c r="C851" s="103"/>
      <c r="D851" s="104"/>
      <c r="E851" s="104"/>
      <c r="F851" s="104"/>
    </row>
    <row r="852" spans="1:6">
      <c r="A852" s="93"/>
      <c r="B852" s="93"/>
      <c r="C852" s="103"/>
      <c r="D852" s="104"/>
      <c r="E852" s="104"/>
      <c r="F852" s="104"/>
    </row>
    <row r="853" spans="1:6">
      <c r="A853" s="93"/>
      <c r="B853" s="93"/>
      <c r="C853" s="103"/>
      <c r="D853" s="104"/>
      <c r="E853" s="104"/>
      <c r="F853" s="104"/>
    </row>
    <row r="854" spans="1:6">
      <c r="A854" s="93"/>
      <c r="B854" s="93"/>
      <c r="C854" s="103"/>
      <c r="D854" s="104"/>
      <c r="E854" s="104"/>
      <c r="F854" s="104"/>
    </row>
    <row r="855" spans="1:6">
      <c r="A855" s="93"/>
      <c r="B855" s="93"/>
      <c r="C855" s="103"/>
      <c r="D855" s="104"/>
      <c r="E855" s="104"/>
      <c r="F855" s="104"/>
    </row>
    <row r="856" spans="1:6">
      <c r="A856" s="93"/>
      <c r="B856" s="93"/>
      <c r="C856" s="103"/>
      <c r="D856" s="104"/>
      <c r="E856" s="104"/>
      <c r="F856" s="104"/>
    </row>
    <row r="857" spans="1:6">
      <c r="A857" s="93"/>
      <c r="B857" s="93"/>
      <c r="C857" s="103"/>
      <c r="D857" s="104"/>
      <c r="E857" s="104"/>
      <c r="F857" s="104"/>
    </row>
    <row r="858" spans="1:6">
      <c r="A858" s="93"/>
      <c r="B858" s="93"/>
      <c r="C858" s="103"/>
      <c r="D858" s="104"/>
      <c r="E858" s="104"/>
      <c r="F858" s="104"/>
    </row>
    <row r="859" spans="1:6">
      <c r="A859" s="93"/>
      <c r="B859" s="93"/>
      <c r="C859" s="103"/>
      <c r="D859" s="104"/>
      <c r="E859" s="104"/>
      <c r="F859" s="104"/>
    </row>
    <row r="860" spans="1:6">
      <c r="A860" s="93"/>
      <c r="B860" s="93"/>
      <c r="C860" s="103"/>
      <c r="D860" s="104"/>
      <c r="E860" s="104"/>
      <c r="F860" s="104"/>
    </row>
    <row r="861" spans="1:6">
      <c r="A861" s="93"/>
      <c r="B861" s="93"/>
      <c r="C861" s="103"/>
      <c r="D861" s="104"/>
      <c r="E861" s="104"/>
      <c r="F861" s="104"/>
    </row>
    <row r="862" spans="1:6">
      <c r="A862" s="93"/>
      <c r="B862" s="93"/>
      <c r="C862" s="103"/>
      <c r="D862" s="104"/>
      <c r="E862" s="104"/>
      <c r="F862" s="104"/>
    </row>
    <row r="863" spans="1:6">
      <c r="A863" s="93"/>
      <c r="B863" s="93"/>
      <c r="C863" s="103"/>
      <c r="D863" s="104"/>
      <c r="E863" s="104"/>
      <c r="F863" s="104"/>
    </row>
    <row r="864" spans="1:6">
      <c r="A864" s="93"/>
      <c r="B864" s="93"/>
      <c r="C864" s="103"/>
      <c r="D864" s="104"/>
      <c r="E864" s="104"/>
      <c r="F864" s="104"/>
    </row>
    <row r="865" spans="1:6">
      <c r="A865" s="93"/>
      <c r="B865" s="93"/>
      <c r="C865" s="103"/>
      <c r="D865" s="104"/>
      <c r="E865" s="104"/>
      <c r="F865" s="104"/>
    </row>
    <row r="866" spans="1:6">
      <c r="A866" s="93"/>
      <c r="B866" s="93"/>
      <c r="C866" s="103"/>
      <c r="D866" s="104"/>
      <c r="E866" s="104"/>
      <c r="F866" s="104"/>
    </row>
    <row r="867" spans="1:6">
      <c r="A867" s="93"/>
      <c r="B867" s="93"/>
      <c r="C867" s="103"/>
      <c r="D867" s="104"/>
      <c r="E867" s="104"/>
      <c r="F867" s="104"/>
    </row>
    <row r="868" spans="1:6">
      <c r="A868" s="93"/>
      <c r="B868" s="93"/>
      <c r="C868" s="103"/>
      <c r="D868" s="104"/>
      <c r="E868" s="104"/>
      <c r="F868" s="104"/>
    </row>
    <row r="869" spans="1:6">
      <c r="A869" s="93"/>
      <c r="B869" s="93"/>
      <c r="C869" s="103"/>
      <c r="D869" s="104"/>
      <c r="E869" s="104"/>
      <c r="F869" s="104"/>
    </row>
    <row r="870" spans="1:6">
      <c r="A870" s="93"/>
      <c r="B870" s="93"/>
      <c r="C870" s="103"/>
      <c r="D870" s="104"/>
      <c r="E870" s="104"/>
      <c r="F870" s="104"/>
    </row>
    <row r="871" spans="1:6">
      <c r="A871" s="93"/>
      <c r="B871" s="93"/>
      <c r="C871" s="103"/>
      <c r="D871" s="104"/>
      <c r="E871" s="104"/>
      <c r="F871" s="104"/>
    </row>
    <row r="872" spans="1:6">
      <c r="A872" s="93"/>
      <c r="B872" s="93"/>
      <c r="C872" s="103"/>
      <c r="D872" s="104"/>
      <c r="E872" s="104"/>
      <c r="F872" s="104"/>
    </row>
    <row r="873" spans="1:6">
      <c r="A873" s="93"/>
      <c r="B873" s="93"/>
      <c r="C873" s="103"/>
      <c r="D873" s="104"/>
      <c r="E873" s="104"/>
      <c r="F873" s="104"/>
    </row>
    <row r="874" spans="1:6">
      <c r="A874" s="93"/>
      <c r="B874" s="93"/>
      <c r="C874" s="103"/>
      <c r="D874" s="104"/>
      <c r="E874" s="104"/>
      <c r="F874" s="104"/>
    </row>
    <row r="875" spans="1:6">
      <c r="A875" s="93"/>
      <c r="B875" s="93"/>
      <c r="C875" s="103"/>
      <c r="D875" s="104"/>
      <c r="E875" s="104"/>
      <c r="F875" s="104"/>
    </row>
    <row r="876" spans="1:6">
      <c r="A876" s="93"/>
      <c r="B876" s="93"/>
      <c r="C876" s="103"/>
      <c r="D876" s="104"/>
      <c r="E876" s="104"/>
      <c r="F876" s="104"/>
    </row>
    <row r="877" spans="1:6">
      <c r="A877" s="93"/>
      <c r="B877" s="93"/>
      <c r="C877" s="103"/>
      <c r="D877" s="104"/>
      <c r="E877" s="104"/>
      <c r="F877" s="104"/>
    </row>
    <row r="878" spans="1:6">
      <c r="A878" s="93"/>
      <c r="B878" s="93"/>
      <c r="C878" s="103"/>
      <c r="D878" s="104"/>
      <c r="E878" s="104"/>
      <c r="F878" s="104"/>
    </row>
    <row r="879" spans="1:6">
      <c r="A879" s="93"/>
      <c r="B879" s="93"/>
      <c r="C879" s="103"/>
      <c r="D879" s="104"/>
      <c r="E879" s="104"/>
      <c r="F879" s="104"/>
    </row>
    <row r="880" spans="1:6">
      <c r="A880" s="93"/>
      <c r="B880" s="93"/>
      <c r="C880" s="103"/>
      <c r="D880" s="104"/>
      <c r="E880" s="104"/>
      <c r="F880" s="104"/>
    </row>
    <row r="881" spans="1:6">
      <c r="A881" s="93"/>
      <c r="B881" s="93"/>
      <c r="C881" s="103"/>
      <c r="D881" s="104"/>
      <c r="E881" s="104"/>
      <c r="F881" s="104"/>
    </row>
    <row r="882" spans="1:6">
      <c r="A882" s="93"/>
      <c r="B882" s="93"/>
      <c r="C882" s="103"/>
      <c r="D882" s="104"/>
      <c r="E882" s="104"/>
      <c r="F882" s="104"/>
    </row>
    <row r="883" spans="1:6">
      <c r="A883" s="93"/>
      <c r="B883" s="93"/>
      <c r="C883" s="103"/>
      <c r="D883" s="104"/>
      <c r="E883" s="104"/>
      <c r="F883" s="104"/>
    </row>
    <row r="884" spans="1:6">
      <c r="A884" s="93"/>
      <c r="B884" s="93"/>
      <c r="C884" s="103"/>
      <c r="D884" s="104"/>
      <c r="E884" s="104"/>
      <c r="F884" s="104"/>
    </row>
    <row r="885" spans="1:6">
      <c r="A885" s="93"/>
      <c r="B885" s="93"/>
      <c r="C885" s="103"/>
      <c r="D885" s="104"/>
      <c r="E885" s="104"/>
      <c r="F885" s="104"/>
    </row>
    <row r="886" spans="1:6">
      <c r="A886" s="93"/>
      <c r="B886" s="93"/>
      <c r="C886" s="103"/>
      <c r="D886" s="104"/>
      <c r="E886" s="104"/>
      <c r="F886" s="104"/>
    </row>
    <row r="887" spans="1:6">
      <c r="A887" s="93"/>
      <c r="B887" s="93"/>
      <c r="C887" s="103"/>
      <c r="D887" s="104"/>
      <c r="E887" s="104"/>
      <c r="F887" s="104"/>
    </row>
    <row r="888" spans="1:6">
      <c r="A888" s="93"/>
      <c r="B888" s="93"/>
      <c r="C888" s="103"/>
      <c r="D888" s="104"/>
      <c r="E888" s="104"/>
      <c r="F888" s="104"/>
    </row>
    <row r="889" spans="1:6">
      <c r="A889" s="93"/>
      <c r="B889" s="93"/>
      <c r="C889" s="103"/>
      <c r="D889" s="104"/>
      <c r="E889" s="104"/>
      <c r="F889" s="104"/>
    </row>
    <row r="890" spans="1:6">
      <c r="A890" s="93"/>
      <c r="B890" s="93"/>
      <c r="C890" s="103"/>
      <c r="D890" s="104"/>
      <c r="E890" s="104"/>
      <c r="F890" s="104"/>
    </row>
    <row r="891" spans="1:6">
      <c r="A891" s="93"/>
      <c r="B891" s="93"/>
      <c r="C891" s="103"/>
      <c r="D891" s="104"/>
      <c r="E891" s="104"/>
      <c r="F891" s="104"/>
    </row>
    <row r="892" spans="1:6">
      <c r="A892" s="93"/>
      <c r="B892" s="93"/>
      <c r="C892" s="103"/>
      <c r="D892" s="104"/>
      <c r="E892" s="104"/>
      <c r="F892" s="104"/>
    </row>
    <row r="893" spans="1:6">
      <c r="A893" s="93"/>
      <c r="B893" s="93"/>
      <c r="C893" s="103"/>
      <c r="D893" s="104"/>
      <c r="E893" s="104"/>
      <c r="F893" s="104"/>
    </row>
    <row r="894" spans="1:6">
      <c r="A894" s="93"/>
      <c r="B894" s="93"/>
      <c r="C894" s="103"/>
      <c r="D894" s="104"/>
      <c r="E894" s="104"/>
      <c r="F894" s="104"/>
    </row>
    <row r="895" spans="1:6">
      <c r="A895" s="93"/>
      <c r="B895" s="93"/>
      <c r="C895" s="103"/>
      <c r="D895" s="104"/>
      <c r="E895" s="104"/>
      <c r="F895" s="104"/>
    </row>
    <row r="896" spans="1:6">
      <c r="A896" s="93"/>
      <c r="B896" s="93"/>
      <c r="C896" s="103"/>
      <c r="D896" s="104"/>
      <c r="E896" s="104"/>
      <c r="F896" s="104"/>
    </row>
    <row r="897" spans="1:6">
      <c r="A897" s="93"/>
      <c r="B897" s="93"/>
      <c r="C897" s="103"/>
      <c r="D897" s="104"/>
      <c r="E897" s="104"/>
      <c r="F897" s="104"/>
    </row>
    <row r="898" spans="1:6">
      <c r="A898" s="93"/>
      <c r="B898" s="93"/>
      <c r="C898" s="103"/>
      <c r="D898" s="104"/>
      <c r="E898" s="104"/>
      <c r="F898" s="104"/>
    </row>
    <row r="899" spans="1:6">
      <c r="A899" s="93"/>
      <c r="B899" s="93"/>
      <c r="C899" s="103"/>
      <c r="D899" s="104"/>
      <c r="E899" s="104"/>
      <c r="F899" s="104"/>
    </row>
    <row r="900" spans="1:6">
      <c r="A900" s="93"/>
      <c r="B900" s="93"/>
      <c r="C900" s="103"/>
      <c r="D900" s="104"/>
      <c r="E900" s="104"/>
      <c r="F900" s="104"/>
    </row>
    <row r="901" spans="1:6">
      <c r="A901" s="93"/>
      <c r="B901" s="93"/>
      <c r="C901" s="103"/>
      <c r="D901" s="104"/>
      <c r="E901" s="104"/>
      <c r="F901" s="104"/>
    </row>
    <row r="902" spans="1:6">
      <c r="A902" s="93"/>
      <c r="B902" s="93"/>
      <c r="C902" s="103"/>
      <c r="D902" s="104"/>
      <c r="E902" s="104"/>
      <c r="F902" s="104"/>
    </row>
    <row r="903" spans="1:6">
      <c r="A903" s="93"/>
      <c r="B903" s="93"/>
      <c r="C903" s="103"/>
      <c r="D903" s="104"/>
      <c r="E903" s="104"/>
      <c r="F903" s="104"/>
    </row>
    <row r="904" spans="1:6">
      <c r="A904" s="93"/>
      <c r="B904" s="93"/>
      <c r="C904" s="103"/>
      <c r="D904" s="104"/>
      <c r="E904" s="104"/>
      <c r="F904" s="104"/>
    </row>
    <row r="905" spans="1:6">
      <c r="A905" s="93"/>
      <c r="B905" s="93"/>
      <c r="C905" s="103"/>
      <c r="D905" s="104"/>
      <c r="E905" s="104"/>
      <c r="F905" s="104"/>
    </row>
    <row r="906" spans="1:6">
      <c r="A906" s="93"/>
      <c r="B906" s="93"/>
      <c r="C906" s="103"/>
      <c r="D906" s="104"/>
      <c r="E906" s="104"/>
      <c r="F906" s="104"/>
    </row>
    <row r="907" spans="1:6">
      <c r="A907" s="93"/>
      <c r="B907" s="93"/>
      <c r="C907" s="103"/>
      <c r="D907" s="104"/>
      <c r="E907" s="104"/>
      <c r="F907" s="104"/>
    </row>
    <row r="908" spans="1:6">
      <c r="A908" s="93"/>
      <c r="B908" s="93"/>
      <c r="C908" s="103"/>
      <c r="D908" s="104"/>
      <c r="E908" s="104"/>
      <c r="F908" s="104"/>
    </row>
    <row r="909" spans="1:6">
      <c r="A909" s="93"/>
      <c r="B909" s="93"/>
      <c r="C909" s="103"/>
      <c r="D909" s="104"/>
      <c r="E909" s="104"/>
      <c r="F909" s="104"/>
    </row>
    <row r="910" spans="1:6">
      <c r="A910" s="93"/>
      <c r="B910" s="93"/>
      <c r="C910" s="103"/>
      <c r="D910" s="104"/>
      <c r="E910" s="104"/>
      <c r="F910" s="104"/>
    </row>
    <row r="911" spans="1:6">
      <c r="A911" s="93"/>
      <c r="B911" s="93"/>
      <c r="C911" s="103"/>
      <c r="D911" s="104"/>
      <c r="E911" s="104"/>
      <c r="F911" s="104"/>
    </row>
    <row r="912" spans="1:6">
      <c r="A912" s="93"/>
      <c r="B912" s="93"/>
      <c r="C912" s="103"/>
      <c r="D912" s="104"/>
      <c r="E912" s="104"/>
      <c r="F912" s="104"/>
    </row>
    <row r="913" spans="1:6">
      <c r="A913" s="93"/>
      <c r="B913" s="93"/>
      <c r="C913" s="103"/>
      <c r="D913" s="104"/>
      <c r="E913" s="104"/>
      <c r="F913" s="104"/>
    </row>
    <row r="914" spans="1:6">
      <c r="A914" s="93"/>
      <c r="B914" s="93"/>
      <c r="C914" s="103"/>
      <c r="D914" s="104"/>
      <c r="E914" s="104"/>
      <c r="F914" s="104"/>
    </row>
    <row r="915" spans="1:6">
      <c r="A915" s="93"/>
      <c r="B915" s="93"/>
      <c r="C915" s="103"/>
      <c r="D915" s="104"/>
      <c r="E915" s="104"/>
      <c r="F915" s="104"/>
    </row>
    <row r="916" spans="1:6">
      <c r="A916" s="93"/>
      <c r="B916" s="93"/>
      <c r="C916" s="103"/>
      <c r="D916" s="104"/>
      <c r="E916" s="104"/>
      <c r="F916" s="104"/>
    </row>
    <row r="917" spans="1:6">
      <c r="A917" s="93"/>
      <c r="B917" s="93"/>
      <c r="C917" s="103"/>
      <c r="D917" s="104"/>
      <c r="E917" s="104"/>
      <c r="F917" s="104"/>
    </row>
    <row r="918" spans="1:6">
      <c r="A918" s="93"/>
      <c r="B918" s="93"/>
      <c r="C918" s="103"/>
      <c r="D918" s="104"/>
      <c r="E918" s="104"/>
      <c r="F918" s="104"/>
    </row>
    <row r="919" spans="1:6">
      <c r="A919" s="93"/>
      <c r="B919" s="93"/>
      <c r="C919" s="103"/>
      <c r="D919" s="104"/>
      <c r="E919" s="104"/>
      <c r="F919" s="104"/>
    </row>
    <row r="920" spans="1:6">
      <c r="A920" s="93"/>
      <c r="B920" s="93"/>
      <c r="C920" s="103"/>
      <c r="D920" s="104"/>
      <c r="E920" s="104"/>
      <c r="F920" s="104"/>
    </row>
    <row r="921" spans="1:6">
      <c r="A921" s="93"/>
      <c r="B921" s="93"/>
      <c r="C921" s="103"/>
      <c r="D921" s="104"/>
      <c r="E921" s="104"/>
      <c r="F921" s="104"/>
    </row>
    <row r="922" spans="1:6">
      <c r="A922" s="93"/>
      <c r="B922" s="93"/>
      <c r="C922" s="103"/>
      <c r="D922" s="104"/>
      <c r="E922" s="104"/>
      <c r="F922" s="104"/>
    </row>
    <row r="923" spans="1:6">
      <c r="A923" s="93"/>
      <c r="B923" s="93"/>
      <c r="C923" s="103"/>
      <c r="D923" s="104"/>
      <c r="E923" s="104"/>
      <c r="F923" s="104"/>
    </row>
    <row r="924" spans="1:6">
      <c r="A924" s="93"/>
      <c r="B924" s="93"/>
      <c r="C924" s="103"/>
      <c r="D924" s="104"/>
      <c r="E924" s="104"/>
      <c r="F924" s="104"/>
    </row>
    <row r="925" spans="1:6">
      <c r="A925" s="93"/>
      <c r="B925" s="93"/>
      <c r="C925" s="103"/>
      <c r="D925" s="104"/>
      <c r="E925" s="104"/>
      <c r="F925" s="104"/>
    </row>
    <row r="926" spans="1:6">
      <c r="A926" s="93"/>
      <c r="B926" s="93"/>
      <c r="C926" s="103"/>
      <c r="D926" s="104"/>
      <c r="E926" s="104"/>
      <c r="F926" s="104"/>
    </row>
    <row r="927" spans="1:6">
      <c r="A927" s="93"/>
      <c r="B927" s="93"/>
      <c r="C927" s="103"/>
      <c r="D927" s="104"/>
      <c r="E927" s="104"/>
      <c r="F927" s="104"/>
    </row>
    <row r="928" spans="1:6">
      <c r="A928" s="93"/>
      <c r="B928" s="93"/>
      <c r="C928" s="103"/>
      <c r="D928" s="104"/>
      <c r="E928" s="104"/>
      <c r="F928" s="104"/>
    </row>
    <row r="929" spans="1:6">
      <c r="A929" s="93"/>
      <c r="B929" s="93"/>
      <c r="C929" s="103"/>
      <c r="D929" s="104"/>
      <c r="E929" s="104"/>
      <c r="F929" s="104"/>
    </row>
    <row r="930" spans="1:6">
      <c r="A930" s="93"/>
      <c r="B930" s="93"/>
      <c r="C930" s="103"/>
      <c r="D930" s="104"/>
      <c r="E930" s="104"/>
      <c r="F930" s="104"/>
    </row>
    <row r="931" spans="1:6">
      <c r="A931" s="93"/>
      <c r="B931" s="93"/>
      <c r="C931" s="103"/>
      <c r="D931" s="104"/>
      <c r="E931" s="104"/>
      <c r="F931" s="104"/>
    </row>
    <row r="932" spans="1:6">
      <c r="A932" s="93"/>
      <c r="B932" s="93"/>
      <c r="C932" s="103"/>
      <c r="D932" s="104"/>
      <c r="E932" s="104"/>
      <c r="F932" s="104"/>
    </row>
    <row r="933" spans="1:6">
      <c r="A933" s="93"/>
      <c r="B933" s="93"/>
      <c r="C933" s="103"/>
      <c r="D933" s="104"/>
      <c r="E933" s="104"/>
      <c r="F933" s="104"/>
    </row>
    <row r="934" spans="1:6">
      <c r="A934" s="93"/>
      <c r="B934" s="93"/>
      <c r="C934" s="103"/>
      <c r="D934" s="104"/>
      <c r="E934" s="104"/>
      <c r="F934" s="104"/>
    </row>
    <row r="935" spans="1:6">
      <c r="A935" s="93"/>
      <c r="B935" s="93"/>
      <c r="C935" s="103"/>
      <c r="D935" s="104"/>
      <c r="E935" s="104"/>
      <c r="F935" s="104"/>
    </row>
    <row r="936" spans="1:6">
      <c r="A936" s="93"/>
      <c r="B936" s="93"/>
      <c r="C936" s="103"/>
      <c r="D936" s="104"/>
      <c r="E936" s="104"/>
      <c r="F936" s="104"/>
    </row>
    <row r="937" spans="1:6">
      <c r="A937" s="93"/>
      <c r="B937" s="93"/>
      <c r="C937" s="103"/>
      <c r="D937" s="104"/>
      <c r="E937" s="104"/>
      <c r="F937" s="104"/>
    </row>
    <row r="938" spans="1:6">
      <c r="A938" s="93"/>
      <c r="B938" s="93"/>
      <c r="C938" s="103"/>
      <c r="D938" s="104"/>
      <c r="E938" s="104"/>
      <c r="F938" s="104"/>
    </row>
    <row r="939" spans="1:6">
      <c r="A939" s="93"/>
      <c r="B939" s="93"/>
      <c r="C939" s="103"/>
      <c r="D939" s="104"/>
      <c r="E939" s="104"/>
      <c r="F939" s="104"/>
    </row>
    <row r="940" spans="1:6">
      <c r="A940" s="93"/>
      <c r="B940" s="93"/>
      <c r="C940" s="103"/>
      <c r="D940" s="104"/>
      <c r="E940" s="104"/>
      <c r="F940" s="104"/>
    </row>
    <row r="941" spans="1:6">
      <c r="A941" s="93"/>
      <c r="B941" s="93"/>
      <c r="C941" s="103"/>
      <c r="D941" s="104"/>
      <c r="E941" s="104"/>
      <c r="F941" s="104"/>
    </row>
    <row r="942" spans="1:6">
      <c r="A942" s="93"/>
      <c r="B942" s="93"/>
      <c r="C942" s="103"/>
      <c r="D942" s="104"/>
      <c r="E942" s="104"/>
      <c r="F942" s="104"/>
    </row>
    <row r="943" spans="1:6">
      <c r="A943" s="93"/>
      <c r="B943" s="93"/>
      <c r="C943" s="103"/>
      <c r="D943" s="104"/>
      <c r="E943" s="104"/>
      <c r="F943" s="104"/>
    </row>
    <row r="944" spans="1:6">
      <c r="A944" s="93"/>
      <c r="B944" s="93"/>
      <c r="C944" s="103"/>
      <c r="D944" s="104"/>
      <c r="E944" s="104"/>
      <c r="F944" s="104"/>
    </row>
    <row r="945" spans="1:6">
      <c r="A945" s="93"/>
      <c r="B945" s="93"/>
      <c r="C945" s="103"/>
      <c r="D945" s="104"/>
      <c r="E945" s="104"/>
      <c r="F945" s="104"/>
    </row>
    <row r="946" spans="1:6">
      <c r="A946" s="93"/>
      <c r="B946" s="93"/>
      <c r="C946" s="103"/>
      <c r="D946" s="104"/>
      <c r="E946" s="104"/>
      <c r="F946" s="104"/>
    </row>
    <row r="947" spans="1:6">
      <c r="A947" s="93"/>
      <c r="B947" s="93"/>
      <c r="C947" s="103"/>
      <c r="D947" s="104"/>
      <c r="E947" s="104"/>
      <c r="F947" s="104"/>
    </row>
    <row r="948" spans="1:6">
      <c r="A948" s="93"/>
      <c r="B948" s="93"/>
      <c r="C948" s="103"/>
      <c r="D948" s="104"/>
      <c r="E948" s="104"/>
      <c r="F948" s="104"/>
    </row>
    <row r="949" spans="1:6">
      <c r="A949" s="93"/>
      <c r="B949" s="93"/>
      <c r="C949" s="103"/>
      <c r="D949" s="104"/>
      <c r="E949" s="104"/>
      <c r="F949" s="104"/>
    </row>
    <row r="950" spans="1:6">
      <c r="A950" s="93"/>
      <c r="B950" s="93"/>
      <c r="C950" s="103"/>
      <c r="D950" s="104"/>
      <c r="E950" s="104"/>
      <c r="F950" s="104"/>
    </row>
    <row r="951" spans="1:6">
      <c r="A951" s="93"/>
      <c r="B951" s="93"/>
      <c r="C951" s="103"/>
      <c r="D951" s="104"/>
      <c r="E951" s="104"/>
      <c r="F951" s="104"/>
    </row>
    <row r="952" spans="1:6">
      <c r="A952" s="93"/>
      <c r="B952" s="93"/>
      <c r="C952" s="103"/>
      <c r="D952" s="104"/>
      <c r="E952" s="104"/>
      <c r="F952" s="104"/>
    </row>
    <row r="953" spans="1:6">
      <c r="A953" s="93"/>
      <c r="B953" s="93"/>
      <c r="C953" s="103"/>
      <c r="D953" s="104"/>
      <c r="E953" s="104"/>
      <c r="F953" s="104"/>
    </row>
    <row r="954" spans="1:6">
      <c r="A954" s="93"/>
      <c r="B954" s="93"/>
      <c r="C954" s="103"/>
      <c r="D954" s="104"/>
      <c r="E954" s="104"/>
      <c r="F954" s="104"/>
    </row>
    <row r="955" spans="1:6">
      <c r="A955" s="93"/>
      <c r="B955" s="93"/>
      <c r="C955" s="103"/>
      <c r="D955" s="104"/>
      <c r="E955" s="104"/>
      <c r="F955" s="104"/>
    </row>
    <row r="956" spans="1:6">
      <c r="A956" s="93"/>
      <c r="B956" s="93"/>
      <c r="C956" s="103"/>
      <c r="D956" s="104"/>
      <c r="E956" s="104"/>
      <c r="F956" s="104"/>
    </row>
    <row r="957" spans="1:6">
      <c r="A957" s="93"/>
      <c r="B957" s="93"/>
      <c r="C957" s="103"/>
      <c r="D957" s="104"/>
      <c r="E957" s="104"/>
      <c r="F957" s="104"/>
    </row>
    <row r="958" spans="1:6">
      <c r="A958" s="93"/>
      <c r="B958" s="93"/>
      <c r="C958" s="103"/>
      <c r="D958" s="104"/>
      <c r="E958" s="104"/>
      <c r="F958" s="104"/>
    </row>
    <row r="959" spans="1:6">
      <c r="A959" s="93"/>
      <c r="B959" s="93"/>
      <c r="C959" s="103"/>
      <c r="D959" s="104"/>
      <c r="E959" s="104"/>
      <c r="F959" s="104"/>
    </row>
    <row r="960" spans="1:6">
      <c r="A960" s="93"/>
      <c r="B960" s="93"/>
      <c r="C960" s="103"/>
      <c r="D960" s="104"/>
      <c r="E960" s="104"/>
      <c r="F960" s="104"/>
    </row>
    <row r="961" spans="1:6">
      <c r="A961" s="93"/>
      <c r="B961" s="93"/>
      <c r="C961" s="103"/>
      <c r="D961" s="104"/>
      <c r="E961" s="104"/>
      <c r="F961" s="104"/>
    </row>
    <row r="962" spans="1:6">
      <c r="A962" s="93"/>
      <c r="B962" s="93"/>
      <c r="C962" s="103"/>
      <c r="D962" s="104"/>
      <c r="E962" s="104"/>
      <c r="F962" s="104"/>
    </row>
    <row r="963" spans="1:6">
      <c r="A963" s="93"/>
      <c r="B963" s="93"/>
      <c r="C963" s="103"/>
      <c r="D963" s="104"/>
      <c r="E963" s="104"/>
      <c r="F963" s="104"/>
    </row>
    <row r="964" spans="1:6">
      <c r="A964" s="93"/>
      <c r="B964" s="93"/>
      <c r="C964" s="103"/>
      <c r="D964" s="104"/>
      <c r="E964" s="104"/>
      <c r="F964" s="104"/>
    </row>
    <row r="965" spans="1:6">
      <c r="A965" s="93"/>
      <c r="B965" s="93"/>
      <c r="C965" s="103"/>
      <c r="D965" s="104"/>
      <c r="E965" s="104"/>
      <c r="F965" s="104"/>
    </row>
    <row r="966" spans="1:6">
      <c r="A966" s="93"/>
      <c r="B966" s="93"/>
      <c r="C966" s="103"/>
      <c r="D966" s="104"/>
      <c r="E966" s="104"/>
      <c r="F966" s="104"/>
    </row>
    <row r="967" spans="1:6">
      <c r="A967" s="93"/>
      <c r="B967" s="93"/>
      <c r="C967" s="103"/>
      <c r="D967" s="104"/>
      <c r="E967" s="104"/>
      <c r="F967" s="104"/>
    </row>
    <row r="968" spans="1:6">
      <c r="A968" s="93"/>
      <c r="B968" s="93"/>
      <c r="C968" s="103"/>
      <c r="D968" s="104"/>
      <c r="E968" s="104"/>
      <c r="F968" s="104"/>
    </row>
    <row r="969" spans="1:6">
      <c r="A969" s="93"/>
      <c r="B969" s="93"/>
      <c r="C969" s="103"/>
      <c r="D969" s="104"/>
      <c r="E969" s="104"/>
      <c r="F969" s="104"/>
    </row>
    <row r="970" spans="1:6">
      <c r="A970" s="93"/>
      <c r="B970" s="93"/>
      <c r="C970" s="103"/>
      <c r="D970" s="104"/>
      <c r="E970" s="104"/>
      <c r="F970" s="104"/>
    </row>
    <row r="971" spans="1:6">
      <c r="A971" s="93"/>
      <c r="B971" s="93"/>
      <c r="C971" s="103"/>
      <c r="D971" s="104"/>
      <c r="E971" s="104"/>
      <c r="F971" s="104"/>
    </row>
    <row r="972" spans="1:6">
      <c r="A972" s="93"/>
      <c r="B972" s="93"/>
      <c r="C972" s="103"/>
      <c r="D972" s="104"/>
      <c r="E972" s="104"/>
      <c r="F972" s="104"/>
    </row>
    <row r="973" spans="1:6">
      <c r="A973" s="93"/>
      <c r="B973" s="93"/>
      <c r="C973" s="103"/>
      <c r="D973" s="104"/>
      <c r="E973" s="104"/>
      <c r="F973" s="104"/>
    </row>
    <row r="974" spans="1:6">
      <c r="A974" s="93"/>
      <c r="B974" s="93"/>
      <c r="C974" s="103"/>
      <c r="D974" s="104"/>
      <c r="E974" s="104"/>
      <c r="F974" s="104"/>
    </row>
    <row r="975" spans="1:6">
      <c r="A975" s="93"/>
      <c r="B975" s="93"/>
      <c r="C975" s="103"/>
      <c r="D975" s="104"/>
      <c r="E975" s="104"/>
      <c r="F975" s="104"/>
    </row>
    <row r="976" spans="1:6">
      <c r="A976" s="93"/>
      <c r="B976" s="93"/>
      <c r="C976" s="103"/>
      <c r="D976" s="104"/>
      <c r="E976" s="104"/>
      <c r="F976" s="104"/>
    </row>
    <row r="977" spans="1:6">
      <c r="A977" s="93"/>
      <c r="B977" s="93"/>
      <c r="C977" s="103"/>
      <c r="D977" s="104"/>
      <c r="E977" s="104"/>
      <c r="F977" s="104"/>
    </row>
    <row r="978" spans="1:6">
      <c r="A978" s="93"/>
      <c r="B978" s="93"/>
      <c r="C978" s="103"/>
      <c r="D978" s="104"/>
      <c r="E978" s="104"/>
      <c r="F978" s="104"/>
    </row>
    <row r="979" spans="1:6">
      <c r="A979" s="93"/>
      <c r="B979" s="93"/>
      <c r="C979" s="103"/>
      <c r="D979" s="104"/>
      <c r="E979" s="104"/>
      <c r="F979" s="104"/>
    </row>
    <row r="980" spans="1:6">
      <c r="A980" s="93"/>
      <c r="B980" s="93"/>
      <c r="C980" s="103"/>
      <c r="D980" s="104"/>
      <c r="E980" s="104"/>
      <c r="F980" s="104"/>
    </row>
    <row r="981" spans="1:6">
      <c r="A981" s="93"/>
      <c r="B981" s="93"/>
      <c r="C981" s="103"/>
      <c r="D981" s="104"/>
      <c r="E981" s="104"/>
      <c r="F981" s="104"/>
    </row>
    <row r="982" spans="1:6">
      <c r="A982" s="93"/>
      <c r="B982" s="93"/>
      <c r="C982" s="103"/>
      <c r="D982" s="104"/>
      <c r="E982" s="104"/>
      <c r="F982" s="104"/>
    </row>
    <row r="983" spans="1:6">
      <c r="A983" s="93"/>
      <c r="B983" s="93"/>
      <c r="C983" s="103"/>
      <c r="D983" s="104"/>
      <c r="E983" s="104"/>
      <c r="F983" s="104"/>
    </row>
    <row r="984" spans="1:6">
      <c r="A984" s="93"/>
      <c r="B984" s="93"/>
      <c r="C984" s="103"/>
      <c r="D984" s="104"/>
      <c r="E984" s="104"/>
      <c r="F984" s="104"/>
    </row>
    <row r="985" spans="1:6">
      <c r="A985" s="93"/>
      <c r="B985" s="93"/>
      <c r="C985" s="103"/>
      <c r="D985" s="104"/>
      <c r="E985" s="104"/>
      <c r="F985" s="104"/>
    </row>
    <row r="986" spans="1:6">
      <c r="A986" s="93"/>
      <c r="B986" s="93"/>
      <c r="C986" s="103"/>
      <c r="D986" s="104"/>
      <c r="E986" s="104"/>
      <c r="F986" s="104"/>
    </row>
    <row r="987" spans="1:6">
      <c r="A987" s="93"/>
      <c r="B987" s="93"/>
      <c r="C987" s="103"/>
      <c r="D987" s="104"/>
      <c r="E987" s="104"/>
      <c r="F987" s="104"/>
    </row>
    <row r="988" spans="1:6">
      <c r="A988" s="93"/>
      <c r="B988" s="93"/>
      <c r="C988" s="103"/>
      <c r="D988" s="104"/>
      <c r="E988" s="104"/>
      <c r="F988" s="104"/>
    </row>
    <row r="989" spans="1:6">
      <c r="A989" s="93"/>
      <c r="B989" s="93"/>
      <c r="C989" s="103"/>
      <c r="D989" s="104"/>
      <c r="E989" s="104"/>
      <c r="F989" s="104"/>
    </row>
    <row r="990" spans="1:6">
      <c r="A990" s="93"/>
      <c r="B990" s="93"/>
      <c r="C990" s="103"/>
      <c r="D990" s="104"/>
      <c r="E990" s="104"/>
      <c r="F990" s="104"/>
    </row>
    <row r="991" spans="1:6">
      <c r="A991" s="93"/>
      <c r="B991" s="93"/>
      <c r="C991" s="103"/>
      <c r="D991" s="104"/>
      <c r="E991" s="104"/>
      <c r="F991" s="104"/>
    </row>
    <row r="992" spans="1:6">
      <c r="A992" s="93"/>
      <c r="B992" s="93"/>
      <c r="C992" s="103"/>
      <c r="D992" s="104"/>
      <c r="E992" s="104"/>
      <c r="F992" s="104"/>
    </row>
    <row r="993" spans="1:6">
      <c r="A993" s="93"/>
      <c r="B993" s="93"/>
      <c r="C993" s="103"/>
      <c r="D993" s="104"/>
      <c r="E993" s="104"/>
      <c r="F993" s="104"/>
    </row>
    <row r="994" spans="1:6">
      <c r="A994" s="93"/>
      <c r="B994" s="93"/>
      <c r="C994" s="103"/>
      <c r="D994" s="104"/>
      <c r="E994" s="104"/>
      <c r="F994" s="104"/>
    </row>
    <row r="995" spans="1:6">
      <c r="A995" s="93"/>
      <c r="B995" s="93"/>
      <c r="C995" s="103"/>
      <c r="D995" s="104"/>
      <c r="E995" s="104"/>
      <c r="F995" s="104"/>
    </row>
    <row r="996" spans="1:6">
      <c r="A996" s="93"/>
      <c r="B996" s="93"/>
      <c r="C996" s="103"/>
      <c r="D996" s="104"/>
      <c r="E996" s="104"/>
      <c r="F996" s="104"/>
    </row>
    <row r="997" spans="1:6">
      <c r="A997" s="93"/>
      <c r="B997" s="93"/>
      <c r="C997" s="103"/>
      <c r="D997" s="104"/>
      <c r="E997" s="104"/>
      <c r="F997" s="104"/>
    </row>
    <row r="998" spans="1:6">
      <c r="A998" s="93"/>
      <c r="B998" s="93"/>
      <c r="C998" s="103"/>
      <c r="D998" s="104"/>
      <c r="E998" s="104"/>
      <c r="F998" s="104"/>
    </row>
    <row r="999" spans="1:6">
      <c r="A999" s="93"/>
      <c r="B999" s="93"/>
      <c r="C999" s="103"/>
      <c r="D999" s="104"/>
      <c r="E999" s="104"/>
      <c r="F999" s="104"/>
    </row>
    <row r="1000" spans="1:6">
      <c r="A1000" s="93"/>
      <c r="B1000" s="93"/>
      <c r="C1000" s="103"/>
      <c r="D1000" s="104"/>
      <c r="E1000" s="104"/>
      <c r="F1000" s="104"/>
    </row>
    <row r="1001" spans="1:6">
      <c r="A1001" s="93"/>
      <c r="B1001" s="93"/>
      <c r="C1001" s="103"/>
      <c r="D1001" s="104"/>
      <c r="E1001" s="104"/>
      <c r="F1001" s="104"/>
    </row>
    <row r="1002" spans="1:6">
      <c r="A1002" s="93"/>
      <c r="B1002" s="93"/>
      <c r="C1002" s="103"/>
      <c r="D1002" s="104"/>
      <c r="E1002" s="104"/>
      <c r="F1002" s="104"/>
    </row>
    <row r="1003" spans="1:6">
      <c r="A1003" s="93"/>
      <c r="B1003" s="93"/>
      <c r="C1003" s="103"/>
      <c r="D1003" s="104"/>
      <c r="E1003" s="104"/>
      <c r="F1003" s="104"/>
    </row>
    <row r="1004" spans="1:6">
      <c r="A1004" s="93"/>
      <c r="B1004" s="93"/>
      <c r="C1004" s="103"/>
      <c r="D1004" s="104"/>
      <c r="E1004" s="104"/>
      <c r="F1004" s="104"/>
    </row>
    <row r="1005" spans="1:6">
      <c r="A1005" s="93"/>
      <c r="B1005" s="93"/>
      <c r="C1005" s="103"/>
      <c r="D1005" s="104"/>
      <c r="E1005" s="104"/>
      <c r="F1005" s="104"/>
    </row>
    <row r="1006" spans="1:6">
      <c r="A1006" s="93"/>
      <c r="B1006" s="93"/>
      <c r="C1006" s="103"/>
      <c r="D1006" s="104"/>
      <c r="E1006" s="104"/>
      <c r="F1006" s="104"/>
    </row>
    <row r="1007" spans="1:6">
      <c r="A1007" s="93"/>
      <c r="B1007" s="93"/>
      <c r="C1007" s="103"/>
      <c r="D1007" s="104"/>
      <c r="E1007" s="104"/>
      <c r="F1007" s="104"/>
    </row>
    <row r="1008" spans="1:6">
      <c r="A1008" s="93"/>
      <c r="B1008" s="93"/>
      <c r="C1008" s="103"/>
      <c r="D1008" s="104"/>
      <c r="E1008" s="104"/>
      <c r="F1008" s="104"/>
    </row>
    <row r="1009" spans="1:6">
      <c r="A1009" s="93"/>
      <c r="B1009" s="93"/>
      <c r="C1009" s="103"/>
      <c r="D1009" s="104"/>
      <c r="E1009" s="104"/>
      <c r="F1009" s="104"/>
    </row>
    <row r="1010" spans="1:6">
      <c r="A1010" s="93"/>
      <c r="B1010" s="93"/>
      <c r="C1010" s="103"/>
      <c r="D1010" s="104"/>
      <c r="E1010" s="104"/>
      <c r="F1010" s="104"/>
    </row>
    <row r="1011" spans="1:6">
      <c r="A1011" s="93"/>
      <c r="B1011" s="93"/>
      <c r="C1011" s="103"/>
      <c r="D1011" s="104"/>
      <c r="E1011" s="104"/>
      <c r="F1011" s="104"/>
    </row>
    <row r="1012" spans="1:6">
      <c r="A1012" s="93"/>
      <c r="B1012" s="93"/>
      <c r="C1012" s="103"/>
      <c r="D1012" s="104"/>
      <c r="E1012" s="104"/>
      <c r="F1012" s="104"/>
    </row>
    <row r="1013" spans="1:6">
      <c r="A1013" s="93"/>
      <c r="B1013" s="93"/>
      <c r="C1013" s="103"/>
      <c r="D1013" s="104"/>
      <c r="E1013" s="104"/>
      <c r="F1013" s="104"/>
    </row>
    <row r="1014" spans="1:6">
      <c r="A1014" s="93"/>
      <c r="B1014" s="93"/>
      <c r="C1014" s="103"/>
      <c r="D1014" s="104"/>
      <c r="E1014" s="104"/>
      <c r="F1014" s="104"/>
    </row>
    <row r="1015" spans="1:6">
      <c r="A1015" s="93"/>
      <c r="B1015" s="93"/>
      <c r="C1015" s="103"/>
      <c r="D1015" s="104"/>
      <c r="E1015" s="104"/>
      <c r="F1015" s="104"/>
    </row>
    <row r="1016" spans="1:6">
      <c r="A1016" s="93"/>
      <c r="B1016" s="93"/>
      <c r="C1016" s="103"/>
      <c r="D1016" s="104"/>
      <c r="E1016" s="104"/>
      <c r="F1016" s="104"/>
    </row>
    <row r="1017" spans="1:6">
      <c r="A1017" s="93"/>
      <c r="B1017" s="93"/>
      <c r="C1017" s="103"/>
      <c r="D1017" s="104"/>
      <c r="E1017" s="104"/>
      <c r="F1017" s="104"/>
    </row>
    <row r="1018" spans="1:6">
      <c r="A1018" s="93"/>
      <c r="B1018" s="93"/>
      <c r="C1018" s="103"/>
      <c r="D1018" s="104"/>
      <c r="E1018" s="104"/>
      <c r="F1018" s="104"/>
    </row>
    <row r="1019" spans="1:6">
      <c r="A1019" s="93"/>
      <c r="B1019" s="93"/>
      <c r="C1019" s="103"/>
      <c r="D1019" s="104"/>
      <c r="E1019" s="104"/>
      <c r="F1019" s="104"/>
    </row>
    <row r="1020" spans="1:6">
      <c r="A1020" s="93"/>
      <c r="B1020" s="93"/>
      <c r="C1020" s="103"/>
      <c r="D1020" s="104"/>
      <c r="E1020" s="104"/>
      <c r="F1020" s="104"/>
    </row>
    <row r="1021" spans="1:6">
      <c r="A1021" s="93"/>
      <c r="B1021" s="93"/>
      <c r="C1021" s="103"/>
      <c r="D1021" s="104"/>
      <c r="E1021" s="104"/>
      <c r="F1021" s="104"/>
    </row>
    <row r="1022" spans="1:6">
      <c r="A1022" s="93"/>
      <c r="B1022" s="93"/>
      <c r="C1022" s="103"/>
      <c r="D1022" s="104"/>
      <c r="E1022" s="104"/>
      <c r="F1022" s="104"/>
    </row>
    <row r="1023" spans="1:6">
      <c r="A1023" s="93"/>
      <c r="B1023" s="93"/>
      <c r="C1023" s="103"/>
      <c r="D1023" s="104"/>
      <c r="E1023" s="104"/>
      <c r="F1023" s="104"/>
    </row>
    <row r="1024" spans="1:6">
      <c r="A1024" s="93"/>
      <c r="B1024" s="93"/>
      <c r="C1024" s="103"/>
      <c r="D1024" s="104"/>
      <c r="E1024" s="104"/>
      <c r="F1024" s="104"/>
    </row>
    <row r="1025" spans="1:6">
      <c r="A1025" s="93"/>
      <c r="B1025" s="93"/>
      <c r="C1025" s="103"/>
      <c r="D1025" s="104"/>
      <c r="E1025" s="104"/>
      <c r="F1025" s="104"/>
    </row>
    <row r="1026" spans="1:6">
      <c r="A1026" s="93"/>
      <c r="B1026" s="93"/>
      <c r="C1026" s="103"/>
      <c r="D1026" s="104"/>
      <c r="E1026" s="104"/>
      <c r="F1026" s="104"/>
    </row>
    <row r="1027" spans="1:6">
      <c r="A1027" s="93"/>
      <c r="B1027" s="93"/>
      <c r="C1027" s="103"/>
      <c r="D1027" s="104"/>
      <c r="E1027" s="104"/>
      <c r="F1027" s="104"/>
    </row>
    <row r="1028" spans="1:6">
      <c r="A1028" s="93"/>
      <c r="B1028" s="93"/>
      <c r="C1028" s="103"/>
      <c r="D1028" s="104"/>
      <c r="E1028" s="104"/>
      <c r="F1028" s="104"/>
    </row>
    <row r="1029" spans="1:6">
      <c r="A1029" s="93"/>
      <c r="B1029" s="93"/>
      <c r="C1029" s="103"/>
      <c r="D1029" s="104"/>
      <c r="E1029" s="104"/>
      <c r="F1029" s="104"/>
    </row>
    <row r="1030" spans="1:6">
      <c r="A1030" s="93"/>
      <c r="B1030" s="93"/>
      <c r="C1030" s="103"/>
      <c r="D1030" s="104"/>
      <c r="E1030" s="104"/>
      <c r="F1030" s="104"/>
    </row>
    <row r="1031" spans="1:6">
      <c r="A1031" s="93"/>
      <c r="B1031" s="93"/>
      <c r="C1031" s="103"/>
      <c r="D1031" s="104"/>
      <c r="E1031" s="104"/>
      <c r="F1031" s="104"/>
    </row>
    <row r="1032" spans="1:6">
      <c r="A1032" s="93"/>
      <c r="B1032" s="93"/>
      <c r="C1032" s="103"/>
      <c r="D1032" s="104"/>
      <c r="E1032" s="104"/>
      <c r="F1032" s="104"/>
    </row>
    <row r="1033" spans="1:6">
      <c r="A1033" s="93"/>
      <c r="B1033" s="93"/>
      <c r="C1033" s="103"/>
      <c r="D1033" s="104"/>
      <c r="E1033" s="104"/>
      <c r="F1033" s="104"/>
    </row>
    <row r="1034" spans="1:6">
      <c r="A1034" s="93"/>
      <c r="B1034" s="93"/>
      <c r="C1034" s="103"/>
      <c r="D1034" s="104"/>
      <c r="E1034" s="104"/>
      <c r="F1034" s="104"/>
    </row>
    <row r="1035" spans="1:6">
      <c r="A1035" s="93"/>
      <c r="B1035" s="93"/>
      <c r="C1035" s="103"/>
      <c r="D1035" s="104"/>
      <c r="E1035" s="104"/>
      <c r="F1035" s="104"/>
    </row>
    <row r="1036" spans="1:6">
      <c r="A1036" s="93"/>
      <c r="B1036" s="93"/>
      <c r="C1036" s="103"/>
      <c r="D1036" s="104"/>
      <c r="E1036" s="104"/>
      <c r="F1036" s="104"/>
    </row>
    <row r="1037" spans="1:6">
      <c r="A1037" s="93"/>
      <c r="B1037" s="93"/>
      <c r="C1037" s="103"/>
      <c r="D1037" s="104"/>
      <c r="E1037" s="104"/>
      <c r="F1037" s="104"/>
    </row>
    <row r="1038" spans="1:6">
      <c r="A1038" s="93"/>
      <c r="B1038" s="93"/>
      <c r="C1038" s="103"/>
      <c r="D1038" s="104"/>
      <c r="E1038" s="104"/>
      <c r="F1038" s="104"/>
    </row>
    <row r="1039" spans="1:6">
      <c r="A1039" s="93"/>
      <c r="B1039" s="93"/>
      <c r="C1039" s="103"/>
      <c r="D1039" s="104"/>
      <c r="E1039" s="104"/>
      <c r="F1039" s="104"/>
    </row>
    <row r="1040" spans="1:6">
      <c r="A1040" s="93"/>
      <c r="B1040" s="93"/>
      <c r="C1040" s="103"/>
      <c r="D1040" s="104"/>
      <c r="E1040" s="104"/>
      <c r="F1040" s="104"/>
    </row>
    <row r="1041" spans="1:6">
      <c r="A1041" s="93"/>
      <c r="B1041" s="93"/>
      <c r="C1041" s="103"/>
      <c r="D1041" s="104"/>
      <c r="E1041" s="104"/>
      <c r="F1041" s="104"/>
    </row>
    <row r="1042" spans="1:6">
      <c r="A1042" s="93"/>
      <c r="B1042" s="93"/>
      <c r="C1042" s="103"/>
      <c r="D1042" s="104"/>
      <c r="E1042" s="104"/>
      <c r="F1042" s="104"/>
    </row>
    <row r="1043" spans="1:6">
      <c r="A1043" s="93"/>
      <c r="B1043" s="93"/>
      <c r="C1043" s="103"/>
      <c r="D1043" s="104"/>
      <c r="E1043" s="104"/>
      <c r="F1043" s="104"/>
    </row>
    <row r="1044" spans="1:6">
      <c r="A1044" s="93"/>
      <c r="B1044" s="93"/>
      <c r="C1044" s="103"/>
      <c r="D1044" s="104"/>
      <c r="E1044" s="104"/>
      <c r="F1044" s="104"/>
    </row>
    <row r="1045" spans="1:6">
      <c r="A1045" s="93"/>
      <c r="B1045" s="93"/>
      <c r="C1045" s="103"/>
      <c r="D1045" s="104"/>
      <c r="E1045" s="104"/>
      <c r="F1045" s="104"/>
    </row>
    <row r="1046" spans="1:6">
      <c r="A1046" s="93"/>
      <c r="B1046" s="93"/>
      <c r="C1046" s="103"/>
      <c r="D1046" s="104"/>
      <c r="E1046" s="104"/>
      <c r="F1046" s="104"/>
    </row>
    <row r="1047" spans="1:6">
      <c r="A1047" s="93"/>
      <c r="B1047" s="93"/>
      <c r="C1047" s="103"/>
      <c r="D1047" s="104"/>
      <c r="E1047" s="104"/>
      <c r="F1047" s="104"/>
    </row>
    <row r="1048" spans="1:6">
      <c r="A1048" s="93"/>
      <c r="B1048" s="93"/>
      <c r="C1048" s="103"/>
      <c r="D1048" s="104"/>
      <c r="E1048" s="104"/>
      <c r="F1048" s="104"/>
    </row>
    <row r="1049" spans="1:6">
      <c r="A1049" s="93"/>
      <c r="B1049" s="93"/>
      <c r="C1049" s="103"/>
      <c r="D1049" s="104"/>
      <c r="E1049" s="104"/>
      <c r="F1049" s="104"/>
    </row>
    <row r="1050" spans="1:6">
      <c r="A1050" s="93"/>
      <c r="B1050" s="93"/>
      <c r="C1050" s="103"/>
      <c r="D1050" s="104"/>
      <c r="E1050" s="104"/>
      <c r="F1050" s="104"/>
    </row>
    <row r="1051" spans="1:6">
      <c r="A1051" s="93"/>
      <c r="B1051" s="93"/>
      <c r="C1051" s="103"/>
      <c r="D1051" s="104"/>
      <c r="E1051" s="104"/>
      <c r="F1051" s="104"/>
    </row>
    <row r="1052" spans="1:6">
      <c r="A1052" s="93"/>
      <c r="B1052" s="93"/>
      <c r="C1052" s="103"/>
      <c r="D1052" s="104"/>
      <c r="E1052" s="104"/>
      <c r="F1052" s="104"/>
    </row>
    <row r="1053" spans="1:6">
      <c r="A1053" s="93"/>
      <c r="B1053" s="93"/>
      <c r="C1053" s="103"/>
      <c r="D1053" s="104"/>
      <c r="E1053" s="104"/>
      <c r="F1053" s="104"/>
    </row>
    <row r="1054" spans="1:6">
      <c r="A1054" s="93"/>
      <c r="B1054" s="93"/>
      <c r="C1054" s="103"/>
      <c r="D1054" s="104"/>
      <c r="E1054" s="104"/>
      <c r="F1054" s="104"/>
    </row>
    <row r="1055" spans="1:6">
      <c r="A1055" s="93"/>
      <c r="B1055" s="93"/>
      <c r="C1055" s="103"/>
      <c r="D1055" s="104"/>
      <c r="E1055" s="104"/>
      <c r="F1055" s="104"/>
    </row>
    <row r="1056" spans="1:6">
      <c r="A1056" s="93"/>
      <c r="B1056" s="93"/>
      <c r="C1056" s="103"/>
      <c r="D1056" s="104"/>
      <c r="E1056" s="104"/>
      <c r="F1056" s="104"/>
    </row>
    <row r="1057" spans="1:6">
      <c r="A1057" s="93"/>
      <c r="B1057" s="93"/>
      <c r="C1057" s="103"/>
      <c r="D1057" s="104"/>
      <c r="E1057" s="104"/>
      <c r="F1057" s="104"/>
    </row>
    <row r="1058" spans="1:6">
      <c r="A1058" s="93"/>
      <c r="B1058" s="93"/>
      <c r="C1058" s="103"/>
      <c r="D1058" s="104"/>
      <c r="E1058" s="104"/>
      <c r="F1058" s="104"/>
    </row>
    <row r="1059" spans="1:6">
      <c r="A1059" s="93"/>
      <c r="B1059" s="93"/>
      <c r="C1059" s="103"/>
      <c r="D1059" s="104"/>
      <c r="E1059" s="104"/>
      <c r="F1059" s="104"/>
    </row>
    <row r="1060" spans="1:6">
      <c r="A1060" s="93"/>
      <c r="B1060" s="93"/>
      <c r="C1060" s="103"/>
      <c r="D1060" s="104"/>
      <c r="E1060" s="104"/>
      <c r="F1060" s="104"/>
    </row>
    <row r="1061" spans="1:6">
      <c r="A1061" s="93"/>
      <c r="B1061" s="93"/>
      <c r="C1061" s="103"/>
      <c r="D1061" s="104"/>
      <c r="E1061" s="104"/>
      <c r="F1061" s="104"/>
    </row>
    <row r="1062" spans="1:6">
      <c r="A1062" s="93"/>
      <c r="B1062" s="93"/>
      <c r="C1062" s="103"/>
      <c r="D1062" s="104"/>
      <c r="E1062" s="104"/>
      <c r="F1062" s="104"/>
    </row>
    <row r="1063" spans="1:6">
      <c r="A1063" s="93"/>
      <c r="B1063" s="93"/>
      <c r="C1063" s="103"/>
      <c r="D1063" s="104"/>
      <c r="E1063" s="104"/>
      <c r="F1063" s="104"/>
    </row>
    <row r="1064" spans="1:6">
      <c r="A1064" s="93"/>
      <c r="B1064" s="93"/>
      <c r="C1064" s="103"/>
      <c r="D1064" s="104"/>
      <c r="E1064" s="104"/>
      <c r="F1064" s="104"/>
    </row>
    <row r="1065" spans="1:6">
      <c r="A1065" s="93"/>
      <c r="B1065" s="93"/>
      <c r="C1065" s="103"/>
      <c r="D1065" s="104"/>
      <c r="E1065" s="104"/>
      <c r="F1065" s="104"/>
    </row>
    <row r="1066" spans="1:6">
      <c r="A1066" s="93"/>
      <c r="B1066" s="93"/>
      <c r="C1066" s="103"/>
      <c r="D1066" s="104"/>
      <c r="E1066" s="104"/>
      <c r="F1066" s="104"/>
    </row>
    <row r="1067" spans="1:6">
      <c r="A1067" s="93"/>
      <c r="B1067" s="93"/>
      <c r="C1067" s="103"/>
      <c r="D1067" s="104"/>
      <c r="E1067" s="104"/>
      <c r="F1067" s="104"/>
    </row>
    <row r="1068" spans="1:6">
      <c r="A1068" s="93"/>
      <c r="B1068" s="93"/>
      <c r="C1068" s="103"/>
      <c r="D1068" s="104"/>
      <c r="E1068" s="104"/>
      <c r="F1068" s="104"/>
    </row>
    <row r="1069" spans="1:6">
      <c r="A1069" s="93"/>
      <c r="B1069" s="93"/>
      <c r="C1069" s="103"/>
      <c r="D1069" s="104"/>
      <c r="E1069" s="104"/>
      <c r="F1069" s="104"/>
    </row>
    <row r="1070" spans="1:6">
      <c r="A1070" s="93"/>
      <c r="B1070" s="93"/>
      <c r="C1070" s="103"/>
      <c r="D1070" s="104"/>
      <c r="E1070" s="104"/>
      <c r="F1070" s="104"/>
    </row>
    <row r="1071" spans="1:6">
      <c r="A1071" s="93"/>
      <c r="B1071" s="93"/>
      <c r="C1071" s="103"/>
      <c r="D1071" s="104"/>
      <c r="E1071" s="104"/>
      <c r="F1071" s="104"/>
    </row>
    <row r="1072" spans="1:6">
      <c r="A1072" s="93"/>
      <c r="B1072" s="93"/>
      <c r="C1072" s="103"/>
      <c r="D1072" s="104"/>
      <c r="E1072" s="104"/>
      <c r="F1072" s="104"/>
    </row>
    <row r="1073" spans="1:6">
      <c r="A1073" s="93"/>
      <c r="B1073" s="93"/>
      <c r="C1073" s="103"/>
      <c r="D1073" s="104"/>
      <c r="E1073" s="104"/>
      <c r="F1073" s="104"/>
    </row>
    <row r="1074" spans="1:6">
      <c r="A1074" s="93"/>
      <c r="B1074" s="93"/>
      <c r="C1074" s="103"/>
      <c r="D1074" s="104"/>
      <c r="E1074" s="104"/>
      <c r="F1074" s="104"/>
    </row>
    <row r="1075" spans="1:6">
      <c r="A1075" s="93"/>
      <c r="B1075" s="93"/>
      <c r="C1075" s="103"/>
      <c r="D1075" s="104"/>
      <c r="E1075" s="104"/>
      <c r="F1075" s="104"/>
    </row>
    <row r="1076" spans="1:6">
      <c r="A1076" s="93"/>
      <c r="B1076" s="93"/>
      <c r="C1076" s="103"/>
      <c r="D1076" s="104"/>
      <c r="E1076" s="104"/>
      <c r="F1076" s="104"/>
    </row>
    <row r="1077" spans="1:6">
      <c r="A1077" s="93"/>
      <c r="B1077" s="93"/>
      <c r="C1077" s="103"/>
      <c r="D1077" s="104"/>
      <c r="E1077" s="104"/>
      <c r="F1077" s="104"/>
    </row>
    <row r="1078" spans="1:6">
      <c r="A1078" s="93"/>
      <c r="B1078" s="93"/>
      <c r="C1078" s="103"/>
      <c r="D1078" s="104"/>
      <c r="E1078" s="104"/>
      <c r="F1078" s="104"/>
    </row>
    <row r="1079" spans="1:6">
      <c r="A1079" s="93"/>
      <c r="B1079" s="93"/>
      <c r="C1079" s="103"/>
      <c r="D1079" s="104"/>
      <c r="E1079" s="104"/>
      <c r="F1079" s="104"/>
    </row>
    <row r="1080" spans="1:6">
      <c r="A1080" s="93"/>
      <c r="B1080" s="93"/>
      <c r="C1080" s="103"/>
      <c r="D1080" s="104"/>
      <c r="E1080" s="104"/>
      <c r="F1080" s="104"/>
    </row>
    <row r="1081" spans="1:6">
      <c r="A1081" s="93"/>
      <c r="B1081" s="93"/>
      <c r="C1081" s="103"/>
      <c r="D1081" s="104"/>
      <c r="E1081" s="104"/>
      <c r="F1081" s="104"/>
    </row>
    <row r="1082" spans="1:6">
      <c r="A1082" s="93"/>
      <c r="B1082" s="93"/>
      <c r="C1082" s="103"/>
      <c r="D1082" s="104"/>
      <c r="E1082" s="104"/>
      <c r="F1082" s="104"/>
    </row>
    <row r="1083" spans="1:6">
      <c r="A1083" s="93"/>
      <c r="B1083" s="93"/>
      <c r="C1083" s="103"/>
      <c r="D1083" s="104"/>
      <c r="E1083" s="104"/>
      <c r="F1083" s="104"/>
    </row>
    <row r="1084" spans="1:6">
      <c r="A1084" s="93"/>
      <c r="B1084" s="93"/>
      <c r="C1084" s="103"/>
      <c r="D1084" s="104"/>
      <c r="E1084" s="104"/>
      <c r="F1084" s="104"/>
    </row>
    <row r="1085" spans="1:6">
      <c r="A1085" s="93"/>
      <c r="B1085" s="93"/>
      <c r="C1085" s="103"/>
      <c r="D1085" s="104"/>
      <c r="E1085" s="104"/>
      <c r="F1085" s="104"/>
    </row>
    <row r="1086" spans="1:6">
      <c r="A1086" s="93"/>
      <c r="B1086" s="93"/>
      <c r="C1086" s="103"/>
      <c r="D1086" s="104"/>
      <c r="E1086" s="104"/>
      <c r="F1086" s="104"/>
    </row>
    <row r="1087" spans="1:6">
      <c r="A1087" s="93"/>
      <c r="B1087" s="93"/>
      <c r="C1087" s="103"/>
      <c r="D1087" s="104"/>
      <c r="E1087" s="104"/>
      <c r="F1087" s="104"/>
    </row>
    <row r="1088" spans="1:6">
      <c r="A1088" s="93"/>
      <c r="B1088" s="93"/>
      <c r="C1088" s="103"/>
      <c r="D1088" s="104"/>
      <c r="E1088" s="104"/>
      <c r="F1088" s="104"/>
    </row>
    <row r="1089" spans="1:6">
      <c r="A1089" s="93"/>
      <c r="B1089" s="93"/>
      <c r="C1089" s="103"/>
      <c r="D1089" s="104"/>
      <c r="E1089" s="104"/>
      <c r="F1089" s="104"/>
    </row>
    <row r="1090" spans="1:6">
      <c r="A1090" s="93"/>
      <c r="B1090" s="93"/>
      <c r="C1090" s="103"/>
      <c r="D1090" s="104"/>
      <c r="E1090" s="104"/>
      <c r="F1090" s="104"/>
    </row>
    <row r="1091" spans="1:6">
      <c r="A1091" s="93"/>
      <c r="B1091" s="93"/>
      <c r="C1091" s="103"/>
      <c r="D1091" s="104"/>
      <c r="E1091" s="104"/>
      <c r="F1091" s="104"/>
    </row>
    <row r="1092" spans="1:6">
      <c r="A1092" s="93"/>
      <c r="B1092" s="93"/>
      <c r="C1092" s="103"/>
      <c r="D1092" s="104"/>
      <c r="E1092" s="104"/>
      <c r="F1092" s="104"/>
    </row>
    <row r="1093" spans="1:6">
      <c r="A1093" s="93"/>
      <c r="B1093" s="93"/>
      <c r="C1093" s="103"/>
      <c r="D1093" s="104"/>
      <c r="E1093" s="104"/>
      <c r="F1093" s="104"/>
    </row>
    <row r="1094" spans="1:6">
      <c r="A1094" s="93"/>
      <c r="B1094" s="93"/>
      <c r="C1094" s="103"/>
      <c r="D1094" s="104"/>
      <c r="E1094" s="104"/>
      <c r="F1094" s="104"/>
    </row>
    <row r="1095" spans="1:6">
      <c r="A1095" s="93"/>
      <c r="B1095" s="93"/>
      <c r="C1095" s="103"/>
      <c r="D1095" s="104"/>
      <c r="E1095" s="104"/>
      <c r="F1095" s="104"/>
    </row>
    <row r="1096" spans="1:6">
      <c r="A1096" s="93"/>
      <c r="B1096" s="93"/>
      <c r="C1096" s="103"/>
      <c r="D1096" s="104"/>
      <c r="E1096" s="104"/>
      <c r="F1096" s="104"/>
    </row>
    <row r="1097" spans="1:6">
      <c r="A1097" s="93"/>
      <c r="B1097" s="93"/>
      <c r="C1097" s="103"/>
      <c r="D1097" s="104"/>
      <c r="E1097" s="104"/>
      <c r="F1097" s="104"/>
    </row>
    <row r="1098" spans="1:6">
      <c r="A1098" s="93"/>
      <c r="B1098" s="93"/>
      <c r="C1098" s="103"/>
      <c r="D1098" s="104"/>
      <c r="E1098" s="104"/>
      <c r="F1098" s="104"/>
    </row>
    <row r="1099" spans="1:6">
      <c r="A1099" s="93"/>
      <c r="B1099" s="93"/>
      <c r="C1099" s="103"/>
      <c r="D1099" s="104"/>
      <c r="E1099" s="104"/>
      <c r="F1099" s="104"/>
    </row>
    <row r="1100" spans="1:6">
      <c r="A1100" s="93"/>
      <c r="B1100" s="93"/>
      <c r="C1100" s="103"/>
      <c r="D1100" s="104"/>
      <c r="E1100" s="104"/>
      <c r="F1100" s="104"/>
    </row>
    <row r="1101" spans="1:6">
      <c r="A1101" s="93"/>
      <c r="B1101" s="93"/>
      <c r="C1101" s="103"/>
      <c r="D1101" s="104"/>
      <c r="E1101" s="104"/>
      <c r="F1101" s="104"/>
    </row>
    <row r="1102" spans="1:6">
      <c r="A1102" s="93"/>
      <c r="B1102" s="93"/>
      <c r="C1102" s="103"/>
      <c r="D1102" s="104"/>
      <c r="E1102" s="104"/>
      <c r="F1102" s="104"/>
    </row>
    <row r="1103" spans="1:6">
      <c r="A1103" s="93"/>
      <c r="B1103" s="93"/>
      <c r="C1103" s="103"/>
      <c r="D1103" s="104"/>
      <c r="E1103" s="104"/>
      <c r="F1103" s="104"/>
    </row>
    <row r="1104" spans="1:6">
      <c r="A1104" s="93"/>
      <c r="B1104" s="93"/>
      <c r="C1104" s="103"/>
      <c r="D1104" s="104"/>
      <c r="E1104" s="104"/>
      <c r="F1104" s="104"/>
    </row>
    <row r="1105" spans="1:6">
      <c r="A1105" s="93"/>
      <c r="B1105" s="93"/>
      <c r="C1105" s="103"/>
      <c r="D1105" s="104"/>
      <c r="E1105" s="104"/>
      <c r="F1105" s="104"/>
    </row>
    <row r="1106" spans="1:6">
      <c r="A1106" s="93"/>
      <c r="B1106" s="93"/>
      <c r="C1106" s="103"/>
      <c r="D1106" s="104"/>
      <c r="E1106" s="104"/>
      <c r="F1106" s="104"/>
    </row>
    <row r="1107" spans="1:6">
      <c r="A1107" s="93"/>
      <c r="B1107" s="93"/>
      <c r="C1107" s="103"/>
      <c r="D1107" s="104"/>
      <c r="E1107" s="104"/>
      <c r="F1107" s="104"/>
    </row>
    <row r="1108" spans="1:6">
      <c r="A1108" s="93"/>
      <c r="B1108" s="93"/>
      <c r="C1108" s="103"/>
      <c r="D1108" s="104"/>
      <c r="E1108" s="104"/>
      <c r="F1108" s="104"/>
    </row>
    <row r="1109" spans="1:6">
      <c r="A1109" s="93"/>
      <c r="B1109" s="93"/>
      <c r="C1109" s="103"/>
      <c r="D1109" s="104"/>
      <c r="E1109" s="104"/>
      <c r="F1109" s="104"/>
    </row>
    <row r="1110" spans="1:6">
      <c r="A1110" s="93"/>
      <c r="B1110" s="93"/>
      <c r="C1110" s="103"/>
      <c r="D1110" s="104"/>
      <c r="E1110" s="104"/>
      <c r="F1110" s="104"/>
    </row>
    <row r="1111" spans="1:6">
      <c r="A1111" s="93"/>
      <c r="B1111" s="93"/>
      <c r="C1111" s="103"/>
      <c r="D1111" s="104"/>
      <c r="E1111" s="104"/>
      <c r="F1111" s="104"/>
    </row>
    <row r="1112" spans="1:6">
      <c r="A1112" s="93"/>
      <c r="B1112" s="93"/>
      <c r="C1112" s="103"/>
      <c r="D1112" s="104"/>
      <c r="E1112" s="104"/>
      <c r="F1112" s="104"/>
    </row>
    <row r="1113" spans="1:6">
      <c r="A1113" s="93"/>
      <c r="B1113" s="93"/>
      <c r="C1113" s="103"/>
      <c r="D1113" s="104"/>
      <c r="E1113" s="104"/>
      <c r="F1113" s="104"/>
    </row>
    <row r="1114" spans="1:6">
      <c r="A1114" s="93"/>
      <c r="B1114" s="93"/>
      <c r="C1114" s="103"/>
      <c r="D1114" s="104"/>
      <c r="E1114" s="104"/>
      <c r="F1114" s="104"/>
    </row>
    <row r="1115" spans="1:6">
      <c r="A1115" s="93"/>
      <c r="B1115" s="93"/>
      <c r="C1115" s="103"/>
      <c r="D1115" s="104"/>
      <c r="E1115" s="104"/>
      <c r="F1115" s="104"/>
    </row>
    <row r="1116" spans="1:6">
      <c r="A1116" s="93"/>
      <c r="B1116" s="93"/>
      <c r="C1116" s="103"/>
      <c r="D1116" s="104"/>
      <c r="E1116" s="104"/>
      <c r="F1116" s="104"/>
    </row>
    <row r="1117" spans="1:6">
      <c r="A1117" s="93"/>
      <c r="B1117" s="93"/>
      <c r="C1117" s="103"/>
      <c r="D1117" s="104"/>
      <c r="E1117" s="104"/>
      <c r="F1117" s="104"/>
    </row>
    <row r="1118" spans="1:6">
      <c r="A1118" s="93"/>
      <c r="B1118" s="93"/>
      <c r="C1118" s="103"/>
      <c r="D1118" s="104"/>
      <c r="E1118" s="104"/>
      <c r="F1118" s="104"/>
    </row>
    <row r="1119" spans="1:6">
      <c r="A1119" s="93"/>
      <c r="B1119" s="93"/>
      <c r="C1119" s="103"/>
      <c r="D1119" s="104"/>
      <c r="E1119" s="104"/>
      <c r="F1119" s="104"/>
    </row>
    <row r="1120" spans="1:6">
      <c r="A1120" s="93"/>
      <c r="B1120" s="93"/>
      <c r="C1120" s="103"/>
      <c r="D1120" s="104"/>
      <c r="E1120" s="104"/>
      <c r="F1120" s="104"/>
    </row>
    <row r="1121" spans="1:6">
      <c r="A1121" s="93"/>
      <c r="B1121" s="93"/>
      <c r="C1121" s="103"/>
      <c r="D1121" s="104"/>
      <c r="E1121" s="104"/>
      <c r="F1121" s="104"/>
    </row>
    <row r="1122" spans="1:6">
      <c r="A1122" s="93"/>
      <c r="B1122" s="93"/>
      <c r="C1122" s="103"/>
      <c r="D1122" s="104"/>
      <c r="E1122" s="104"/>
      <c r="F1122" s="104"/>
    </row>
    <row r="1123" spans="1:6">
      <c r="A1123" s="93"/>
      <c r="B1123" s="93"/>
      <c r="C1123" s="103"/>
      <c r="D1123" s="104"/>
      <c r="E1123" s="104"/>
      <c r="F1123" s="104"/>
    </row>
    <row r="1124" spans="1:6">
      <c r="A1124" s="93"/>
      <c r="B1124" s="93"/>
      <c r="C1124" s="103"/>
      <c r="D1124" s="104"/>
      <c r="E1124" s="104"/>
      <c r="F1124" s="104"/>
    </row>
    <row r="1125" spans="1:6">
      <c r="A1125" s="93"/>
      <c r="B1125" s="93"/>
      <c r="C1125" s="103"/>
      <c r="D1125" s="104"/>
      <c r="E1125" s="104"/>
      <c r="F1125" s="104"/>
    </row>
    <row r="1126" spans="1:6">
      <c r="A1126" s="93"/>
      <c r="B1126" s="93"/>
      <c r="C1126" s="103"/>
      <c r="D1126" s="104"/>
      <c r="E1126" s="104"/>
      <c r="F1126" s="104"/>
    </row>
    <row r="1127" spans="1:6">
      <c r="A1127" s="93"/>
      <c r="B1127" s="93"/>
      <c r="C1127" s="103"/>
      <c r="D1127" s="104"/>
      <c r="E1127" s="104"/>
      <c r="F1127" s="104"/>
    </row>
    <row r="1128" spans="1:6">
      <c r="A1128" s="93"/>
      <c r="B1128" s="93"/>
      <c r="C1128" s="103"/>
      <c r="D1128" s="104"/>
      <c r="E1128" s="104"/>
      <c r="F1128" s="104"/>
    </row>
    <row r="1129" spans="1:6">
      <c r="A1129" s="93"/>
      <c r="B1129" s="93"/>
      <c r="C1129" s="103"/>
      <c r="D1129" s="104"/>
      <c r="E1129" s="104"/>
      <c r="F1129" s="104"/>
    </row>
    <row r="1130" spans="1:6">
      <c r="A1130" s="93"/>
      <c r="B1130" s="93"/>
      <c r="C1130" s="103"/>
      <c r="D1130" s="104"/>
      <c r="E1130" s="104"/>
      <c r="F1130" s="104"/>
    </row>
    <row r="1131" spans="1:6">
      <c r="A1131" s="93"/>
      <c r="B1131" s="93"/>
      <c r="C1131" s="103"/>
      <c r="D1131" s="104"/>
      <c r="E1131" s="104"/>
      <c r="F1131" s="104"/>
    </row>
    <row r="1132" spans="1:6">
      <c r="A1132" s="93"/>
      <c r="B1132" s="93"/>
      <c r="C1132" s="103"/>
      <c r="D1132" s="104"/>
      <c r="E1132" s="104"/>
      <c r="F1132" s="104"/>
    </row>
    <row r="1133" spans="1:6">
      <c r="A1133" s="93"/>
      <c r="B1133" s="93"/>
      <c r="C1133" s="103"/>
      <c r="D1133" s="104"/>
      <c r="E1133" s="104"/>
      <c r="F1133" s="104"/>
    </row>
    <row r="1134" spans="1:6">
      <c r="A1134" s="93"/>
      <c r="B1134" s="93"/>
      <c r="C1134" s="103"/>
      <c r="D1134" s="104"/>
      <c r="E1134" s="104"/>
      <c r="F1134" s="104"/>
    </row>
    <row r="1135" spans="1:6">
      <c r="A1135" s="93"/>
      <c r="B1135" s="93"/>
      <c r="C1135" s="103"/>
      <c r="D1135" s="104"/>
      <c r="E1135" s="104"/>
      <c r="F1135" s="104"/>
    </row>
    <row r="1136" spans="1:6">
      <c r="A1136" s="93"/>
      <c r="B1136" s="93"/>
      <c r="C1136" s="103"/>
      <c r="D1136" s="104"/>
      <c r="E1136" s="104"/>
      <c r="F1136" s="104"/>
    </row>
    <row r="1137" spans="1:6">
      <c r="A1137" s="93"/>
      <c r="B1137" s="93"/>
      <c r="C1137" s="103"/>
      <c r="D1137" s="104"/>
      <c r="E1137" s="104"/>
      <c r="F1137" s="104"/>
    </row>
    <row r="1138" spans="1:6">
      <c r="A1138" s="93"/>
      <c r="B1138" s="93"/>
      <c r="C1138" s="103"/>
      <c r="D1138" s="104"/>
      <c r="E1138" s="104"/>
      <c r="F1138" s="104"/>
    </row>
    <row r="1139" spans="1:6">
      <c r="A1139" s="93"/>
      <c r="B1139" s="93"/>
      <c r="C1139" s="103"/>
      <c r="D1139" s="104"/>
      <c r="E1139" s="104"/>
      <c r="F1139" s="104"/>
    </row>
    <row r="1140" spans="1:6">
      <c r="A1140" s="93"/>
      <c r="B1140" s="93"/>
      <c r="C1140" s="103"/>
      <c r="D1140" s="104"/>
      <c r="E1140" s="104"/>
      <c r="F1140" s="104"/>
    </row>
    <row r="1141" spans="1:6">
      <c r="A1141" s="93"/>
      <c r="B1141" s="93"/>
      <c r="C1141" s="103"/>
      <c r="D1141" s="104"/>
      <c r="E1141" s="104"/>
      <c r="F1141" s="104"/>
    </row>
    <row r="1142" spans="1:6">
      <c r="A1142" s="93"/>
      <c r="B1142" s="93"/>
      <c r="C1142" s="103"/>
      <c r="D1142" s="104"/>
      <c r="E1142" s="104"/>
      <c r="F1142" s="104"/>
    </row>
    <row r="1143" spans="1:6">
      <c r="A1143" s="93"/>
      <c r="B1143" s="93"/>
      <c r="C1143" s="103"/>
      <c r="D1143" s="104"/>
      <c r="E1143" s="104"/>
      <c r="F1143" s="104"/>
    </row>
    <row r="1144" spans="1:6">
      <c r="A1144" s="93"/>
      <c r="B1144" s="93"/>
      <c r="C1144" s="103"/>
      <c r="D1144" s="104"/>
      <c r="E1144" s="104"/>
      <c r="F1144" s="104"/>
    </row>
    <row r="1145" spans="1:6">
      <c r="A1145" s="93"/>
      <c r="B1145" s="93"/>
      <c r="C1145" s="103"/>
      <c r="D1145" s="104"/>
      <c r="E1145" s="104"/>
      <c r="F1145" s="104"/>
    </row>
    <row r="1146" spans="1:6">
      <c r="A1146" s="93"/>
      <c r="B1146" s="93"/>
      <c r="C1146" s="103"/>
      <c r="D1146" s="104"/>
      <c r="E1146" s="104"/>
      <c r="F1146" s="104"/>
    </row>
    <row r="1147" spans="1:6">
      <c r="A1147" s="93"/>
      <c r="B1147" s="93"/>
      <c r="C1147" s="103"/>
      <c r="D1147" s="104"/>
      <c r="E1147" s="104"/>
      <c r="F1147" s="104"/>
    </row>
    <row r="1148" spans="1:6">
      <c r="A1148" s="93"/>
      <c r="B1148" s="93"/>
      <c r="C1148" s="103"/>
      <c r="D1148" s="104"/>
      <c r="E1148" s="104"/>
      <c r="F1148" s="104"/>
    </row>
    <row r="1149" spans="1:6">
      <c r="A1149" s="93"/>
      <c r="B1149" s="93"/>
      <c r="C1149" s="103"/>
      <c r="D1149" s="104"/>
      <c r="E1149" s="104"/>
      <c r="F1149" s="104"/>
    </row>
    <row r="1150" spans="1:6">
      <c r="A1150" s="93"/>
      <c r="B1150" s="93"/>
      <c r="C1150" s="103"/>
      <c r="D1150" s="104"/>
      <c r="E1150" s="104"/>
      <c r="F1150" s="104"/>
    </row>
    <row r="1151" spans="1:6">
      <c r="A1151" s="93"/>
      <c r="B1151" s="93"/>
      <c r="C1151" s="103"/>
      <c r="D1151" s="104"/>
      <c r="E1151" s="104"/>
      <c r="F1151" s="104"/>
    </row>
    <row r="1152" spans="1:6">
      <c r="A1152" s="93"/>
      <c r="B1152" s="93"/>
      <c r="C1152" s="103"/>
      <c r="D1152" s="104"/>
      <c r="E1152" s="104"/>
      <c r="F1152" s="104"/>
    </row>
    <row r="1153" spans="1:6">
      <c r="A1153" s="93"/>
      <c r="B1153" s="93"/>
      <c r="C1153" s="103"/>
      <c r="D1153" s="104"/>
      <c r="E1153" s="104"/>
      <c r="F1153" s="104"/>
    </row>
    <row r="1154" spans="1:6">
      <c r="A1154" s="93"/>
      <c r="B1154" s="93"/>
      <c r="C1154" s="103"/>
      <c r="D1154" s="104"/>
      <c r="E1154" s="104"/>
      <c r="F1154" s="104"/>
    </row>
    <row r="1155" spans="1:6">
      <c r="A1155" s="93"/>
      <c r="B1155" s="93"/>
      <c r="C1155" s="103"/>
      <c r="D1155" s="104"/>
      <c r="E1155" s="104"/>
      <c r="F1155" s="104"/>
    </row>
    <row r="1156" spans="1:6">
      <c r="A1156" s="93"/>
      <c r="B1156" s="93"/>
      <c r="C1156" s="103"/>
      <c r="D1156" s="104"/>
      <c r="E1156" s="104"/>
      <c r="F1156" s="104"/>
    </row>
    <row r="1157" spans="1:6">
      <c r="A1157" s="93"/>
      <c r="B1157" s="93"/>
      <c r="C1157" s="103"/>
      <c r="D1157" s="104"/>
      <c r="E1157" s="104"/>
      <c r="F1157" s="104"/>
    </row>
    <row r="1158" spans="1:6">
      <c r="A1158" s="93"/>
      <c r="B1158" s="93"/>
      <c r="C1158" s="103"/>
      <c r="D1158" s="104"/>
      <c r="E1158" s="104"/>
      <c r="F1158" s="104"/>
    </row>
    <row r="1159" spans="1:6">
      <c r="A1159" s="93"/>
      <c r="B1159" s="93"/>
      <c r="C1159" s="103"/>
      <c r="D1159" s="104"/>
      <c r="E1159" s="104"/>
      <c r="F1159" s="104"/>
    </row>
    <row r="1160" spans="1:6">
      <c r="A1160" s="93"/>
      <c r="B1160" s="93"/>
      <c r="C1160" s="103"/>
      <c r="D1160" s="104"/>
      <c r="E1160" s="104"/>
      <c r="F1160" s="104"/>
    </row>
    <row r="1161" spans="1:6">
      <c r="A1161" s="93"/>
      <c r="B1161" s="93"/>
      <c r="C1161" s="103"/>
      <c r="D1161" s="104"/>
      <c r="E1161" s="104"/>
      <c r="F1161" s="104"/>
    </row>
    <row r="1162" spans="1:6">
      <c r="A1162" s="93"/>
      <c r="B1162" s="93"/>
      <c r="C1162" s="103"/>
      <c r="D1162" s="104"/>
      <c r="E1162" s="104"/>
      <c r="F1162" s="104"/>
    </row>
    <row r="1163" spans="1:6">
      <c r="A1163" s="93"/>
      <c r="B1163" s="93"/>
      <c r="C1163" s="103"/>
      <c r="D1163" s="104"/>
      <c r="E1163" s="104"/>
      <c r="F1163" s="104"/>
    </row>
    <row r="1164" spans="1:6">
      <c r="A1164" s="93"/>
      <c r="B1164" s="93"/>
      <c r="C1164" s="103"/>
      <c r="D1164" s="104"/>
      <c r="E1164" s="104"/>
      <c r="F1164" s="104"/>
    </row>
    <row r="1165" spans="1:6">
      <c r="A1165" s="93"/>
      <c r="B1165" s="93"/>
      <c r="C1165" s="103"/>
      <c r="D1165" s="104"/>
      <c r="E1165" s="104"/>
      <c r="F1165" s="104"/>
    </row>
    <row r="1166" spans="1:6">
      <c r="A1166" s="93"/>
      <c r="B1166" s="93"/>
      <c r="C1166" s="103"/>
      <c r="D1166" s="104"/>
      <c r="E1166" s="104"/>
      <c r="F1166" s="104"/>
    </row>
    <row r="1167" spans="1:6">
      <c r="A1167" s="93"/>
      <c r="B1167" s="93"/>
      <c r="C1167" s="103"/>
      <c r="D1167" s="104"/>
      <c r="E1167" s="104"/>
      <c r="F1167" s="104"/>
    </row>
    <row r="1168" spans="1:6">
      <c r="A1168" s="93"/>
      <c r="B1168" s="93"/>
      <c r="C1168" s="103"/>
      <c r="D1168" s="104"/>
      <c r="E1168" s="104"/>
      <c r="F1168" s="104"/>
    </row>
    <row r="1169" spans="1:6">
      <c r="A1169" s="93"/>
      <c r="B1169" s="93"/>
      <c r="C1169" s="103"/>
      <c r="D1169" s="104"/>
      <c r="E1169" s="104"/>
      <c r="F1169" s="104"/>
    </row>
    <row r="1170" spans="1:6">
      <c r="A1170" s="93"/>
      <c r="B1170" s="93"/>
      <c r="C1170" s="103"/>
      <c r="D1170" s="104"/>
      <c r="E1170" s="104"/>
      <c r="F1170" s="104"/>
    </row>
    <row r="1171" spans="1:6">
      <c r="A1171" s="93"/>
      <c r="B1171" s="93"/>
      <c r="C1171" s="103"/>
      <c r="D1171" s="104"/>
      <c r="E1171" s="104"/>
      <c r="F1171" s="104"/>
    </row>
    <row r="1172" spans="1:6">
      <c r="A1172" s="93"/>
      <c r="B1172" s="93"/>
      <c r="C1172" s="103"/>
      <c r="D1172" s="104"/>
      <c r="E1172" s="104"/>
      <c r="F1172" s="104"/>
    </row>
    <row r="1173" spans="1:6">
      <c r="A1173" s="93"/>
      <c r="B1173" s="93"/>
      <c r="C1173" s="103"/>
      <c r="D1173" s="104"/>
      <c r="E1173" s="104"/>
      <c r="F1173" s="104"/>
    </row>
    <row r="1174" spans="1:6">
      <c r="A1174" s="93"/>
      <c r="B1174" s="93"/>
      <c r="C1174" s="103"/>
      <c r="D1174" s="104"/>
      <c r="E1174" s="104"/>
      <c r="F1174" s="104"/>
    </row>
    <row r="1175" spans="1:6">
      <c r="A1175" s="93"/>
      <c r="B1175" s="93"/>
      <c r="C1175" s="103"/>
      <c r="D1175" s="104"/>
      <c r="E1175" s="104"/>
      <c r="F1175" s="104"/>
    </row>
    <row r="1176" spans="1:6">
      <c r="A1176" s="93"/>
      <c r="B1176" s="93"/>
      <c r="C1176" s="103"/>
      <c r="D1176" s="104"/>
      <c r="E1176" s="104"/>
      <c r="F1176" s="104"/>
    </row>
    <row r="1177" spans="1:6">
      <c r="A1177" s="93"/>
      <c r="B1177" s="93"/>
      <c r="C1177" s="103"/>
      <c r="D1177" s="104"/>
      <c r="E1177" s="104"/>
      <c r="F1177" s="104"/>
    </row>
    <row r="1178" spans="1:6">
      <c r="A1178" s="93"/>
      <c r="B1178" s="93"/>
      <c r="C1178" s="103"/>
      <c r="D1178" s="104"/>
      <c r="E1178" s="104"/>
      <c r="F1178" s="104"/>
    </row>
    <row r="1179" spans="1:6">
      <c r="A1179" s="93"/>
      <c r="B1179" s="93"/>
      <c r="C1179" s="103"/>
      <c r="D1179" s="104"/>
      <c r="E1179" s="104"/>
      <c r="F1179" s="104"/>
    </row>
    <row r="1180" spans="1:6">
      <c r="A1180" s="93"/>
      <c r="B1180" s="93"/>
      <c r="C1180" s="103"/>
      <c r="D1180" s="104"/>
      <c r="E1180" s="104"/>
      <c r="F1180" s="104"/>
    </row>
    <row r="1181" spans="1:6">
      <c r="A1181" s="93"/>
      <c r="B1181" s="93"/>
      <c r="C1181" s="103"/>
      <c r="D1181" s="104"/>
      <c r="E1181" s="104"/>
      <c r="F1181" s="104"/>
    </row>
    <row r="1182" spans="1:6">
      <c r="A1182" s="93"/>
      <c r="B1182" s="93"/>
      <c r="C1182" s="103"/>
      <c r="D1182" s="104"/>
      <c r="E1182" s="104"/>
      <c r="F1182" s="104"/>
    </row>
    <row r="1183" spans="1:6">
      <c r="A1183" s="93"/>
      <c r="B1183" s="93"/>
      <c r="C1183" s="103"/>
      <c r="D1183" s="104"/>
      <c r="E1183" s="104"/>
      <c r="F1183" s="104"/>
    </row>
    <row r="1184" spans="1:6">
      <c r="A1184" s="93"/>
      <c r="B1184" s="93"/>
      <c r="C1184" s="103"/>
      <c r="D1184" s="104"/>
      <c r="E1184" s="104"/>
      <c r="F1184" s="104"/>
    </row>
    <row r="1185" spans="1:6">
      <c r="A1185" s="93"/>
      <c r="B1185" s="93"/>
      <c r="C1185" s="103"/>
      <c r="D1185" s="104"/>
      <c r="E1185" s="104"/>
      <c r="F1185" s="104"/>
    </row>
    <row r="1186" spans="1:6">
      <c r="A1186" s="93"/>
      <c r="B1186" s="93"/>
      <c r="C1186" s="103"/>
      <c r="D1186" s="104"/>
      <c r="E1186" s="104"/>
      <c r="F1186" s="104"/>
    </row>
    <row r="1187" spans="1:6">
      <c r="A1187" s="93"/>
      <c r="B1187" s="93"/>
      <c r="C1187" s="103"/>
      <c r="D1187" s="104"/>
      <c r="E1187" s="104"/>
      <c r="F1187" s="104"/>
    </row>
    <row r="1188" spans="1:6">
      <c r="A1188" s="93"/>
      <c r="B1188" s="93"/>
      <c r="C1188" s="103"/>
      <c r="D1188" s="104"/>
      <c r="E1188" s="104"/>
      <c r="F1188" s="104"/>
    </row>
    <row r="1189" spans="1:6">
      <c r="A1189" s="93"/>
      <c r="B1189" s="93"/>
      <c r="C1189" s="103"/>
      <c r="D1189" s="104"/>
      <c r="E1189" s="104"/>
      <c r="F1189" s="104"/>
    </row>
    <row r="1190" spans="1:6">
      <c r="A1190" s="93"/>
      <c r="B1190" s="93"/>
      <c r="C1190" s="103"/>
      <c r="D1190" s="104"/>
      <c r="E1190" s="104"/>
      <c r="F1190" s="104"/>
    </row>
    <row r="1191" spans="1:6">
      <c r="A1191" s="93"/>
      <c r="B1191" s="93"/>
      <c r="C1191" s="103"/>
      <c r="D1191" s="104"/>
      <c r="E1191" s="104"/>
      <c r="F1191" s="104"/>
    </row>
    <row r="1192" spans="1:6">
      <c r="A1192" s="93"/>
      <c r="B1192" s="93"/>
      <c r="C1192" s="103"/>
      <c r="D1192" s="104"/>
      <c r="E1192" s="104"/>
      <c r="F1192" s="104"/>
    </row>
    <row r="1193" spans="1:6">
      <c r="A1193" s="93"/>
      <c r="B1193" s="93"/>
      <c r="C1193" s="103"/>
      <c r="D1193" s="104"/>
      <c r="E1193" s="104"/>
      <c r="F1193" s="104"/>
    </row>
    <row r="1194" spans="1:6">
      <c r="A1194" s="93"/>
      <c r="B1194" s="93"/>
      <c r="C1194" s="103"/>
      <c r="D1194" s="104"/>
      <c r="E1194" s="104"/>
      <c r="F1194" s="104"/>
    </row>
    <row r="1195" spans="1:6">
      <c r="A1195" s="93"/>
      <c r="B1195" s="93"/>
      <c r="C1195" s="103"/>
      <c r="D1195" s="104"/>
      <c r="E1195" s="104"/>
      <c r="F1195" s="104"/>
    </row>
    <row r="1196" spans="1:6">
      <c r="A1196" s="93"/>
      <c r="B1196" s="93"/>
      <c r="C1196" s="103"/>
      <c r="D1196" s="104"/>
      <c r="E1196" s="104"/>
      <c r="F1196" s="104"/>
    </row>
    <row r="1197" spans="1:6">
      <c r="A1197" s="93"/>
      <c r="B1197" s="93"/>
      <c r="C1197" s="103"/>
      <c r="D1197" s="104"/>
      <c r="E1197" s="104"/>
      <c r="F1197" s="104"/>
    </row>
    <row r="1198" spans="1:6">
      <c r="A1198" s="93"/>
      <c r="B1198" s="93"/>
      <c r="C1198" s="103"/>
      <c r="D1198" s="104"/>
      <c r="E1198" s="104"/>
      <c r="F1198" s="104"/>
    </row>
    <row r="1199" spans="1:6">
      <c r="A1199" s="93"/>
      <c r="B1199" s="93"/>
      <c r="C1199" s="103"/>
      <c r="D1199" s="104"/>
      <c r="E1199" s="104"/>
      <c r="F1199" s="104"/>
    </row>
    <row r="1200" spans="1:6">
      <c r="A1200" s="93"/>
      <c r="B1200" s="93"/>
      <c r="C1200" s="103"/>
      <c r="D1200" s="104"/>
      <c r="E1200" s="104"/>
      <c r="F1200" s="104"/>
    </row>
    <row r="1201" spans="1:6">
      <c r="A1201" s="93"/>
      <c r="B1201" s="93"/>
      <c r="C1201" s="103"/>
      <c r="D1201" s="104"/>
      <c r="E1201" s="104"/>
      <c r="F1201" s="104"/>
    </row>
    <row r="1202" spans="1:6">
      <c r="A1202" s="93"/>
      <c r="B1202" s="93"/>
      <c r="C1202" s="103"/>
      <c r="D1202" s="104"/>
      <c r="E1202" s="104"/>
      <c r="F1202" s="104"/>
    </row>
    <row r="1203" spans="1:6">
      <c r="A1203" s="93"/>
      <c r="B1203" s="93"/>
      <c r="C1203" s="103"/>
      <c r="D1203" s="104"/>
      <c r="E1203" s="104"/>
      <c r="F1203" s="104"/>
    </row>
    <row r="1204" spans="1:6">
      <c r="A1204" s="93"/>
      <c r="B1204" s="93"/>
      <c r="C1204" s="103"/>
      <c r="D1204" s="104"/>
      <c r="E1204" s="104"/>
      <c r="F1204" s="104"/>
    </row>
    <row r="1205" spans="1:6">
      <c r="A1205" s="93"/>
      <c r="B1205" s="93"/>
      <c r="C1205" s="103"/>
      <c r="D1205" s="104"/>
      <c r="E1205" s="104"/>
      <c r="F1205" s="104"/>
    </row>
    <row r="1206" spans="1:6">
      <c r="A1206" s="93"/>
      <c r="B1206" s="93"/>
      <c r="C1206" s="103"/>
      <c r="D1206" s="104"/>
      <c r="E1206" s="104"/>
      <c r="F1206" s="104"/>
    </row>
    <row r="1207" spans="1:6">
      <c r="A1207" s="93"/>
      <c r="B1207" s="93"/>
      <c r="C1207" s="103"/>
      <c r="D1207" s="104"/>
      <c r="E1207" s="104"/>
      <c r="F1207" s="104"/>
    </row>
    <row r="1208" spans="1:6">
      <c r="A1208" s="93"/>
      <c r="B1208" s="93"/>
      <c r="C1208" s="103"/>
      <c r="D1208" s="104"/>
      <c r="E1208" s="104"/>
      <c r="F1208" s="104"/>
    </row>
    <row r="1209" spans="1:6">
      <c r="A1209" s="93"/>
      <c r="B1209" s="93"/>
      <c r="C1209" s="103"/>
      <c r="D1209" s="104"/>
      <c r="E1209" s="104"/>
      <c r="F1209" s="104"/>
    </row>
  </sheetData>
  <mergeCells count="9">
    <mergeCell ref="A1:F1"/>
    <mergeCell ref="A4:F4"/>
    <mergeCell ref="A5:A7"/>
    <mergeCell ref="B5:B7"/>
    <mergeCell ref="C5:C7"/>
    <mergeCell ref="D5:F5"/>
    <mergeCell ref="D6:D7"/>
    <mergeCell ref="E6:F6"/>
    <mergeCell ref="C2:F2"/>
  </mergeCells>
  <pageMargins left="0.78740157480314965" right="0.19685039370078741" top="0.19685039370078741" bottom="0.19685039370078741" header="0.31496062992125984" footer="0.31496062992125984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view="pageBreakPreview" topLeftCell="B1" zoomScaleSheetLayoutView="100" workbookViewId="0">
      <selection activeCell="B2" sqref="B2:M2"/>
    </sheetView>
  </sheetViews>
  <sheetFormatPr defaultColWidth="9.140625" defaultRowHeight="15.75"/>
  <cols>
    <col min="1" max="1" width="7.7109375" style="134" customWidth="1"/>
    <col min="2" max="2" width="50.5703125" style="135" customWidth="1"/>
    <col min="3" max="3" width="26" style="135" customWidth="1"/>
    <col min="4" max="4" width="11.85546875" style="136" customWidth="1"/>
    <col min="5" max="5" width="15.140625" style="136" customWidth="1"/>
    <col min="6" max="6" width="10.85546875" style="137" customWidth="1"/>
    <col min="7" max="7" width="11" style="136" customWidth="1"/>
    <col min="8" max="8" width="15.5703125" style="136" customWidth="1"/>
    <col min="9" max="9" width="11.7109375" style="137" customWidth="1"/>
    <col min="10" max="10" width="10.7109375" style="136" customWidth="1"/>
    <col min="11" max="11" width="14.85546875" style="136" customWidth="1"/>
    <col min="12" max="12" width="13.28515625" style="137" customWidth="1"/>
    <col min="13" max="13" width="14.85546875" style="136" customWidth="1"/>
    <col min="14" max="14" width="9.140625" style="135" customWidth="1"/>
    <col min="15" max="253" width="9.140625" style="135"/>
    <col min="254" max="254" width="5.5703125" style="135" customWidth="1"/>
    <col min="255" max="255" width="33.5703125" style="135" customWidth="1"/>
    <col min="256" max="256" width="15.5703125" style="135" customWidth="1"/>
    <col min="257" max="257" width="9.5703125" style="135" customWidth="1"/>
    <col min="258" max="258" width="11.7109375" style="135" customWidth="1"/>
    <col min="259" max="259" width="13.140625" style="135" customWidth="1"/>
    <col min="260" max="260" width="10.85546875" style="135" customWidth="1"/>
    <col min="261" max="261" width="9.28515625" style="135" bestFit="1" customWidth="1"/>
    <col min="262" max="262" width="12.140625" style="135" customWidth="1"/>
    <col min="263" max="263" width="12.7109375" style="135" customWidth="1"/>
    <col min="264" max="264" width="9.28515625" style="135" customWidth="1"/>
    <col min="265" max="265" width="9.28515625" style="135" bestFit="1" customWidth="1"/>
    <col min="266" max="266" width="13.140625" style="135" customWidth="1"/>
    <col min="267" max="267" width="13.5703125" style="135" customWidth="1"/>
    <col min="268" max="268" width="9.5703125" style="135" customWidth="1"/>
    <col min="269" max="269" width="14.85546875" style="135" customWidth="1"/>
    <col min="270" max="509" width="9.140625" style="135"/>
    <col min="510" max="510" width="5.5703125" style="135" customWidth="1"/>
    <col min="511" max="511" width="33.5703125" style="135" customWidth="1"/>
    <col min="512" max="512" width="15.5703125" style="135" customWidth="1"/>
    <col min="513" max="513" width="9.5703125" style="135" customWidth="1"/>
    <col min="514" max="514" width="11.7109375" style="135" customWidth="1"/>
    <col min="515" max="515" width="13.140625" style="135" customWidth="1"/>
    <col min="516" max="516" width="10.85546875" style="135" customWidth="1"/>
    <col min="517" max="517" width="9.28515625" style="135" bestFit="1" customWidth="1"/>
    <col min="518" max="518" width="12.140625" style="135" customWidth="1"/>
    <col min="519" max="519" width="12.7109375" style="135" customWidth="1"/>
    <col min="520" max="520" width="9.28515625" style="135" customWidth="1"/>
    <col min="521" max="521" width="9.28515625" style="135" bestFit="1" customWidth="1"/>
    <col min="522" max="522" width="13.140625" style="135" customWidth="1"/>
    <col min="523" max="523" width="13.5703125" style="135" customWidth="1"/>
    <col min="524" max="524" width="9.5703125" style="135" customWidth="1"/>
    <col min="525" max="525" width="14.85546875" style="135" customWidth="1"/>
    <col min="526" max="765" width="9.140625" style="135"/>
    <col min="766" max="766" width="5.5703125" style="135" customWidth="1"/>
    <col min="767" max="767" width="33.5703125" style="135" customWidth="1"/>
    <col min="768" max="768" width="15.5703125" style="135" customWidth="1"/>
    <col min="769" max="769" width="9.5703125" style="135" customWidth="1"/>
    <col min="770" max="770" width="11.7109375" style="135" customWidth="1"/>
    <col min="771" max="771" width="13.140625" style="135" customWidth="1"/>
    <col min="772" max="772" width="10.85546875" style="135" customWidth="1"/>
    <col min="773" max="773" width="9.28515625" style="135" bestFit="1" customWidth="1"/>
    <col min="774" max="774" width="12.140625" style="135" customWidth="1"/>
    <col min="775" max="775" width="12.7109375" style="135" customWidth="1"/>
    <col min="776" max="776" width="9.28515625" style="135" customWidth="1"/>
    <col min="777" max="777" width="9.28515625" style="135" bestFit="1" customWidth="1"/>
    <col min="778" max="778" width="13.140625" style="135" customWidth="1"/>
    <col min="779" max="779" width="13.5703125" style="135" customWidth="1"/>
    <col min="780" max="780" width="9.5703125" style="135" customWidth="1"/>
    <col min="781" max="781" width="14.85546875" style="135" customWidth="1"/>
    <col min="782" max="1021" width="9.140625" style="135"/>
    <col min="1022" max="1022" width="5.5703125" style="135" customWidth="1"/>
    <col min="1023" max="1023" width="33.5703125" style="135" customWidth="1"/>
    <col min="1024" max="1024" width="15.5703125" style="135" customWidth="1"/>
    <col min="1025" max="1025" width="9.5703125" style="135" customWidth="1"/>
    <col min="1026" max="1026" width="11.7109375" style="135" customWidth="1"/>
    <col min="1027" max="1027" width="13.140625" style="135" customWidth="1"/>
    <col min="1028" max="1028" width="10.85546875" style="135" customWidth="1"/>
    <col min="1029" max="1029" width="9.28515625" style="135" bestFit="1" customWidth="1"/>
    <col min="1030" max="1030" width="12.140625" style="135" customWidth="1"/>
    <col min="1031" max="1031" width="12.7109375" style="135" customWidth="1"/>
    <col min="1032" max="1032" width="9.28515625" style="135" customWidth="1"/>
    <col min="1033" max="1033" width="9.28515625" style="135" bestFit="1" customWidth="1"/>
    <col min="1034" max="1034" width="13.140625" style="135" customWidth="1"/>
    <col min="1035" max="1035" width="13.5703125" style="135" customWidth="1"/>
    <col min="1036" max="1036" width="9.5703125" style="135" customWidth="1"/>
    <col min="1037" max="1037" width="14.85546875" style="135" customWidth="1"/>
    <col min="1038" max="1277" width="9.140625" style="135"/>
    <col min="1278" max="1278" width="5.5703125" style="135" customWidth="1"/>
    <col min="1279" max="1279" width="33.5703125" style="135" customWidth="1"/>
    <col min="1280" max="1280" width="15.5703125" style="135" customWidth="1"/>
    <col min="1281" max="1281" width="9.5703125" style="135" customWidth="1"/>
    <col min="1282" max="1282" width="11.7109375" style="135" customWidth="1"/>
    <col min="1283" max="1283" width="13.140625" style="135" customWidth="1"/>
    <col min="1284" max="1284" width="10.85546875" style="135" customWidth="1"/>
    <col min="1285" max="1285" width="9.28515625" style="135" bestFit="1" customWidth="1"/>
    <col min="1286" max="1286" width="12.140625" style="135" customWidth="1"/>
    <col min="1287" max="1287" width="12.7109375" style="135" customWidth="1"/>
    <col min="1288" max="1288" width="9.28515625" style="135" customWidth="1"/>
    <col min="1289" max="1289" width="9.28515625" style="135" bestFit="1" customWidth="1"/>
    <col min="1290" max="1290" width="13.140625" style="135" customWidth="1"/>
    <col min="1291" max="1291" width="13.5703125" style="135" customWidth="1"/>
    <col min="1292" max="1292" width="9.5703125" style="135" customWidth="1"/>
    <col min="1293" max="1293" width="14.85546875" style="135" customWidth="1"/>
    <col min="1294" max="1533" width="9.140625" style="135"/>
    <col min="1534" max="1534" width="5.5703125" style="135" customWidth="1"/>
    <col min="1535" max="1535" width="33.5703125" style="135" customWidth="1"/>
    <col min="1536" max="1536" width="15.5703125" style="135" customWidth="1"/>
    <col min="1537" max="1537" width="9.5703125" style="135" customWidth="1"/>
    <col min="1538" max="1538" width="11.7109375" style="135" customWidth="1"/>
    <col min="1539" max="1539" width="13.140625" style="135" customWidth="1"/>
    <col min="1540" max="1540" width="10.85546875" style="135" customWidth="1"/>
    <col min="1541" max="1541" width="9.28515625" style="135" bestFit="1" customWidth="1"/>
    <col min="1542" max="1542" width="12.140625" style="135" customWidth="1"/>
    <col min="1543" max="1543" width="12.7109375" style="135" customWidth="1"/>
    <col min="1544" max="1544" width="9.28515625" style="135" customWidth="1"/>
    <col min="1545" max="1545" width="9.28515625" style="135" bestFit="1" customWidth="1"/>
    <col min="1546" max="1546" width="13.140625" style="135" customWidth="1"/>
    <col min="1547" max="1547" width="13.5703125" style="135" customWidth="1"/>
    <col min="1548" max="1548" width="9.5703125" style="135" customWidth="1"/>
    <col min="1549" max="1549" width="14.85546875" style="135" customWidth="1"/>
    <col min="1550" max="1789" width="9.140625" style="135"/>
    <col min="1790" max="1790" width="5.5703125" style="135" customWidth="1"/>
    <col min="1791" max="1791" width="33.5703125" style="135" customWidth="1"/>
    <col min="1792" max="1792" width="15.5703125" style="135" customWidth="1"/>
    <col min="1793" max="1793" width="9.5703125" style="135" customWidth="1"/>
    <col min="1794" max="1794" width="11.7109375" style="135" customWidth="1"/>
    <col min="1795" max="1795" width="13.140625" style="135" customWidth="1"/>
    <col min="1796" max="1796" width="10.85546875" style="135" customWidth="1"/>
    <col min="1797" max="1797" width="9.28515625" style="135" bestFit="1" customWidth="1"/>
    <col min="1798" max="1798" width="12.140625" style="135" customWidth="1"/>
    <col min="1799" max="1799" width="12.7109375" style="135" customWidth="1"/>
    <col min="1800" max="1800" width="9.28515625" style="135" customWidth="1"/>
    <col min="1801" max="1801" width="9.28515625" style="135" bestFit="1" customWidth="1"/>
    <col min="1802" max="1802" width="13.140625" style="135" customWidth="1"/>
    <col min="1803" max="1803" width="13.5703125" style="135" customWidth="1"/>
    <col min="1804" max="1804" width="9.5703125" style="135" customWidth="1"/>
    <col min="1805" max="1805" width="14.85546875" style="135" customWidth="1"/>
    <col min="1806" max="2045" width="9.140625" style="135"/>
    <col min="2046" max="2046" width="5.5703125" style="135" customWidth="1"/>
    <col min="2047" max="2047" width="33.5703125" style="135" customWidth="1"/>
    <col min="2048" max="2048" width="15.5703125" style="135" customWidth="1"/>
    <col min="2049" max="2049" width="9.5703125" style="135" customWidth="1"/>
    <col min="2050" max="2050" width="11.7109375" style="135" customWidth="1"/>
    <col min="2051" max="2051" width="13.140625" style="135" customWidth="1"/>
    <col min="2052" max="2052" width="10.85546875" style="135" customWidth="1"/>
    <col min="2053" max="2053" width="9.28515625" style="135" bestFit="1" customWidth="1"/>
    <col min="2054" max="2054" width="12.140625" style="135" customWidth="1"/>
    <col min="2055" max="2055" width="12.7109375" style="135" customWidth="1"/>
    <col min="2056" max="2056" width="9.28515625" style="135" customWidth="1"/>
    <col min="2057" max="2057" width="9.28515625" style="135" bestFit="1" customWidth="1"/>
    <col min="2058" max="2058" width="13.140625" style="135" customWidth="1"/>
    <col min="2059" max="2059" width="13.5703125" style="135" customWidth="1"/>
    <col min="2060" max="2060" width="9.5703125" style="135" customWidth="1"/>
    <col min="2061" max="2061" width="14.85546875" style="135" customWidth="1"/>
    <col min="2062" max="2301" width="9.140625" style="135"/>
    <col min="2302" max="2302" width="5.5703125" style="135" customWidth="1"/>
    <col min="2303" max="2303" width="33.5703125" style="135" customWidth="1"/>
    <col min="2304" max="2304" width="15.5703125" style="135" customWidth="1"/>
    <col min="2305" max="2305" width="9.5703125" style="135" customWidth="1"/>
    <col min="2306" max="2306" width="11.7109375" style="135" customWidth="1"/>
    <col min="2307" max="2307" width="13.140625" style="135" customWidth="1"/>
    <col min="2308" max="2308" width="10.85546875" style="135" customWidth="1"/>
    <col min="2309" max="2309" width="9.28515625" style="135" bestFit="1" customWidth="1"/>
    <col min="2310" max="2310" width="12.140625" style="135" customWidth="1"/>
    <col min="2311" max="2311" width="12.7109375" style="135" customWidth="1"/>
    <col min="2312" max="2312" width="9.28515625" style="135" customWidth="1"/>
    <col min="2313" max="2313" width="9.28515625" style="135" bestFit="1" customWidth="1"/>
    <col min="2314" max="2314" width="13.140625" style="135" customWidth="1"/>
    <col min="2315" max="2315" width="13.5703125" style="135" customWidth="1"/>
    <col min="2316" max="2316" width="9.5703125" style="135" customWidth="1"/>
    <col min="2317" max="2317" width="14.85546875" style="135" customWidth="1"/>
    <col min="2318" max="2557" width="9.140625" style="135"/>
    <col min="2558" max="2558" width="5.5703125" style="135" customWidth="1"/>
    <col min="2559" max="2559" width="33.5703125" style="135" customWidth="1"/>
    <col min="2560" max="2560" width="15.5703125" style="135" customWidth="1"/>
    <col min="2561" max="2561" width="9.5703125" style="135" customWidth="1"/>
    <col min="2562" max="2562" width="11.7109375" style="135" customWidth="1"/>
    <col min="2563" max="2563" width="13.140625" style="135" customWidth="1"/>
    <col min="2564" max="2564" width="10.85546875" style="135" customWidth="1"/>
    <col min="2565" max="2565" width="9.28515625" style="135" bestFit="1" customWidth="1"/>
    <col min="2566" max="2566" width="12.140625" style="135" customWidth="1"/>
    <col min="2567" max="2567" width="12.7109375" style="135" customWidth="1"/>
    <col min="2568" max="2568" width="9.28515625" style="135" customWidth="1"/>
    <col min="2569" max="2569" width="9.28515625" style="135" bestFit="1" customWidth="1"/>
    <col min="2570" max="2570" width="13.140625" style="135" customWidth="1"/>
    <col min="2571" max="2571" width="13.5703125" style="135" customWidth="1"/>
    <col min="2572" max="2572" width="9.5703125" style="135" customWidth="1"/>
    <col min="2573" max="2573" width="14.85546875" style="135" customWidth="1"/>
    <col min="2574" max="2813" width="9.140625" style="135"/>
    <col min="2814" max="2814" width="5.5703125" style="135" customWidth="1"/>
    <col min="2815" max="2815" width="33.5703125" style="135" customWidth="1"/>
    <col min="2816" max="2816" width="15.5703125" style="135" customWidth="1"/>
    <col min="2817" max="2817" width="9.5703125" style="135" customWidth="1"/>
    <col min="2818" max="2818" width="11.7109375" style="135" customWidth="1"/>
    <col min="2819" max="2819" width="13.140625" style="135" customWidth="1"/>
    <col min="2820" max="2820" width="10.85546875" style="135" customWidth="1"/>
    <col min="2821" max="2821" width="9.28515625" style="135" bestFit="1" customWidth="1"/>
    <col min="2822" max="2822" width="12.140625" style="135" customWidth="1"/>
    <col min="2823" max="2823" width="12.7109375" style="135" customWidth="1"/>
    <col min="2824" max="2824" width="9.28515625" style="135" customWidth="1"/>
    <col min="2825" max="2825" width="9.28515625" style="135" bestFit="1" customWidth="1"/>
    <col min="2826" max="2826" width="13.140625" style="135" customWidth="1"/>
    <col min="2827" max="2827" width="13.5703125" style="135" customWidth="1"/>
    <col min="2828" max="2828" width="9.5703125" style="135" customWidth="1"/>
    <col min="2829" max="2829" width="14.85546875" style="135" customWidth="1"/>
    <col min="2830" max="3069" width="9.140625" style="135"/>
    <col min="3070" max="3070" width="5.5703125" style="135" customWidth="1"/>
    <col min="3071" max="3071" width="33.5703125" style="135" customWidth="1"/>
    <col min="3072" max="3072" width="15.5703125" style="135" customWidth="1"/>
    <col min="3073" max="3073" width="9.5703125" style="135" customWidth="1"/>
    <col min="3074" max="3074" width="11.7109375" style="135" customWidth="1"/>
    <col min="3075" max="3075" width="13.140625" style="135" customWidth="1"/>
    <col min="3076" max="3076" width="10.85546875" style="135" customWidth="1"/>
    <col min="3077" max="3077" width="9.28515625" style="135" bestFit="1" customWidth="1"/>
    <col min="3078" max="3078" width="12.140625" style="135" customWidth="1"/>
    <col min="3079" max="3079" width="12.7109375" style="135" customWidth="1"/>
    <col min="3080" max="3080" width="9.28515625" style="135" customWidth="1"/>
    <col min="3081" max="3081" width="9.28515625" style="135" bestFit="1" customWidth="1"/>
    <col min="3082" max="3082" width="13.140625" style="135" customWidth="1"/>
    <col min="3083" max="3083" width="13.5703125" style="135" customWidth="1"/>
    <col min="3084" max="3084" width="9.5703125" style="135" customWidth="1"/>
    <col min="3085" max="3085" width="14.85546875" style="135" customWidth="1"/>
    <col min="3086" max="3325" width="9.140625" style="135"/>
    <col min="3326" max="3326" width="5.5703125" style="135" customWidth="1"/>
    <col min="3327" max="3327" width="33.5703125" style="135" customWidth="1"/>
    <col min="3328" max="3328" width="15.5703125" style="135" customWidth="1"/>
    <col min="3329" max="3329" width="9.5703125" style="135" customWidth="1"/>
    <col min="3330" max="3330" width="11.7109375" style="135" customWidth="1"/>
    <col min="3331" max="3331" width="13.140625" style="135" customWidth="1"/>
    <col min="3332" max="3332" width="10.85546875" style="135" customWidth="1"/>
    <col min="3333" max="3333" width="9.28515625" style="135" bestFit="1" customWidth="1"/>
    <col min="3334" max="3334" width="12.140625" style="135" customWidth="1"/>
    <col min="3335" max="3335" width="12.7109375" style="135" customWidth="1"/>
    <col min="3336" max="3336" width="9.28515625" style="135" customWidth="1"/>
    <col min="3337" max="3337" width="9.28515625" style="135" bestFit="1" customWidth="1"/>
    <col min="3338" max="3338" width="13.140625" style="135" customWidth="1"/>
    <col min="3339" max="3339" width="13.5703125" style="135" customWidth="1"/>
    <col min="3340" max="3340" width="9.5703125" style="135" customWidth="1"/>
    <col min="3341" max="3341" width="14.85546875" style="135" customWidth="1"/>
    <col min="3342" max="3581" width="9.140625" style="135"/>
    <col min="3582" max="3582" width="5.5703125" style="135" customWidth="1"/>
    <col min="3583" max="3583" width="33.5703125" style="135" customWidth="1"/>
    <col min="3584" max="3584" width="15.5703125" style="135" customWidth="1"/>
    <col min="3585" max="3585" width="9.5703125" style="135" customWidth="1"/>
    <col min="3586" max="3586" width="11.7109375" style="135" customWidth="1"/>
    <col min="3587" max="3587" width="13.140625" style="135" customWidth="1"/>
    <col min="3588" max="3588" width="10.85546875" style="135" customWidth="1"/>
    <col min="3589" max="3589" width="9.28515625" style="135" bestFit="1" customWidth="1"/>
    <col min="3590" max="3590" width="12.140625" style="135" customWidth="1"/>
    <col min="3591" max="3591" width="12.7109375" style="135" customWidth="1"/>
    <col min="3592" max="3592" width="9.28515625" style="135" customWidth="1"/>
    <col min="3593" max="3593" width="9.28515625" style="135" bestFit="1" customWidth="1"/>
    <col min="3594" max="3594" width="13.140625" style="135" customWidth="1"/>
    <col min="3595" max="3595" width="13.5703125" style="135" customWidth="1"/>
    <col min="3596" max="3596" width="9.5703125" style="135" customWidth="1"/>
    <col min="3597" max="3597" width="14.85546875" style="135" customWidth="1"/>
    <col min="3598" max="3837" width="9.140625" style="135"/>
    <col min="3838" max="3838" width="5.5703125" style="135" customWidth="1"/>
    <col min="3839" max="3839" width="33.5703125" style="135" customWidth="1"/>
    <col min="3840" max="3840" width="15.5703125" style="135" customWidth="1"/>
    <col min="3841" max="3841" width="9.5703125" style="135" customWidth="1"/>
    <col min="3842" max="3842" width="11.7109375" style="135" customWidth="1"/>
    <col min="3843" max="3843" width="13.140625" style="135" customWidth="1"/>
    <col min="3844" max="3844" width="10.85546875" style="135" customWidth="1"/>
    <col min="3845" max="3845" width="9.28515625" style="135" bestFit="1" customWidth="1"/>
    <col min="3846" max="3846" width="12.140625" style="135" customWidth="1"/>
    <col min="3847" max="3847" width="12.7109375" style="135" customWidth="1"/>
    <col min="3848" max="3848" width="9.28515625" style="135" customWidth="1"/>
    <col min="3849" max="3849" width="9.28515625" style="135" bestFit="1" customWidth="1"/>
    <col min="3850" max="3850" width="13.140625" style="135" customWidth="1"/>
    <col min="3851" max="3851" width="13.5703125" style="135" customWidth="1"/>
    <col min="3852" max="3852" width="9.5703125" style="135" customWidth="1"/>
    <col min="3853" max="3853" width="14.85546875" style="135" customWidth="1"/>
    <col min="3854" max="4093" width="9.140625" style="135"/>
    <col min="4094" max="4094" width="5.5703125" style="135" customWidth="1"/>
    <col min="4095" max="4095" width="33.5703125" style="135" customWidth="1"/>
    <col min="4096" max="4096" width="15.5703125" style="135" customWidth="1"/>
    <col min="4097" max="4097" width="9.5703125" style="135" customWidth="1"/>
    <col min="4098" max="4098" width="11.7109375" style="135" customWidth="1"/>
    <col min="4099" max="4099" width="13.140625" style="135" customWidth="1"/>
    <col min="4100" max="4100" width="10.85546875" style="135" customWidth="1"/>
    <col min="4101" max="4101" width="9.28515625" style="135" bestFit="1" customWidth="1"/>
    <col min="4102" max="4102" width="12.140625" style="135" customWidth="1"/>
    <col min="4103" max="4103" width="12.7109375" style="135" customWidth="1"/>
    <col min="4104" max="4104" width="9.28515625" style="135" customWidth="1"/>
    <col min="4105" max="4105" width="9.28515625" style="135" bestFit="1" customWidth="1"/>
    <col min="4106" max="4106" width="13.140625" style="135" customWidth="1"/>
    <col min="4107" max="4107" width="13.5703125" style="135" customWidth="1"/>
    <col min="4108" max="4108" width="9.5703125" style="135" customWidth="1"/>
    <col min="4109" max="4109" width="14.85546875" style="135" customWidth="1"/>
    <col min="4110" max="4349" width="9.140625" style="135"/>
    <col min="4350" max="4350" width="5.5703125" style="135" customWidth="1"/>
    <col min="4351" max="4351" width="33.5703125" style="135" customWidth="1"/>
    <col min="4352" max="4352" width="15.5703125" style="135" customWidth="1"/>
    <col min="4353" max="4353" width="9.5703125" style="135" customWidth="1"/>
    <col min="4354" max="4354" width="11.7109375" style="135" customWidth="1"/>
    <col min="4355" max="4355" width="13.140625" style="135" customWidth="1"/>
    <col min="4356" max="4356" width="10.85546875" style="135" customWidth="1"/>
    <col min="4357" max="4357" width="9.28515625" style="135" bestFit="1" customWidth="1"/>
    <col min="4358" max="4358" width="12.140625" style="135" customWidth="1"/>
    <col min="4359" max="4359" width="12.7109375" style="135" customWidth="1"/>
    <col min="4360" max="4360" width="9.28515625" style="135" customWidth="1"/>
    <col min="4361" max="4361" width="9.28515625" style="135" bestFit="1" customWidth="1"/>
    <col min="4362" max="4362" width="13.140625" style="135" customWidth="1"/>
    <col min="4363" max="4363" width="13.5703125" style="135" customWidth="1"/>
    <col min="4364" max="4364" width="9.5703125" style="135" customWidth="1"/>
    <col min="4365" max="4365" width="14.85546875" style="135" customWidth="1"/>
    <col min="4366" max="4605" width="9.140625" style="135"/>
    <col min="4606" max="4606" width="5.5703125" style="135" customWidth="1"/>
    <col min="4607" max="4607" width="33.5703125" style="135" customWidth="1"/>
    <col min="4608" max="4608" width="15.5703125" style="135" customWidth="1"/>
    <col min="4609" max="4609" width="9.5703125" style="135" customWidth="1"/>
    <col min="4610" max="4610" width="11.7109375" style="135" customWidth="1"/>
    <col min="4611" max="4611" width="13.140625" style="135" customWidth="1"/>
    <col min="4612" max="4612" width="10.85546875" style="135" customWidth="1"/>
    <col min="4613" max="4613" width="9.28515625" style="135" bestFit="1" customWidth="1"/>
    <col min="4614" max="4614" width="12.140625" style="135" customWidth="1"/>
    <col min="4615" max="4615" width="12.7109375" style="135" customWidth="1"/>
    <col min="4616" max="4616" width="9.28515625" style="135" customWidth="1"/>
    <col min="4617" max="4617" width="9.28515625" style="135" bestFit="1" customWidth="1"/>
    <col min="4618" max="4618" width="13.140625" style="135" customWidth="1"/>
    <col min="4619" max="4619" width="13.5703125" style="135" customWidth="1"/>
    <col min="4620" max="4620" width="9.5703125" style="135" customWidth="1"/>
    <col min="4621" max="4621" width="14.85546875" style="135" customWidth="1"/>
    <col min="4622" max="4861" width="9.140625" style="135"/>
    <col min="4862" max="4862" width="5.5703125" style="135" customWidth="1"/>
    <col min="4863" max="4863" width="33.5703125" style="135" customWidth="1"/>
    <col min="4864" max="4864" width="15.5703125" style="135" customWidth="1"/>
    <col min="4865" max="4865" width="9.5703125" style="135" customWidth="1"/>
    <col min="4866" max="4866" width="11.7109375" style="135" customWidth="1"/>
    <col min="4867" max="4867" width="13.140625" style="135" customWidth="1"/>
    <col min="4868" max="4868" width="10.85546875" style="135" customWidth="1"/>
    <col min="4869" max="4869" width="9.28515625" style="135" bestFit="1" customWidth="1"/>
    <col min="4870" max="4870" width="12.140625" style="135" customWidth="1"/>
    <col min="4871" max="4871" width="12.7109375" style="135" customWidth="1"/>
    <col min="4872" max="4872" width="9.28515625" style="135" customWidth="1"/>
    <col min="4873" max="4873" width="9.28515625" style="135" bestFit="1" customWidth="1"/>
    <col min="4874" max="4874" width="13.140625" style="135" customWidth="1"/>
    <col min="4875" max="4875" width="13.5703125" style="135" customWidth="1"/>
    <col min="4876" max="4876" width="9.5703125" style="135" customWidth="1"/>
    <col min="4877" max="4877" width="14.85546875" style="135" customWidth="1"/>
    <col min="4878" max="5117" width="9.140625" style="135"/>
    <col min="5118" max="5118" width="5.5703125" style="135" customWidth="1"/>
    <col min="5119" max="5119" width="33.5703125" style="135" customWidth="1"/>
    <col min="5120" max="5120" width="15.5703125" style="135" customWidth="1"/>
    <col min="5121" max="5121" width="9.5703125" style="135" customWidth="1"/>
    <col min="5122" max="5122" width="11.7109375" style="135" customWidth="1"/>
    <col min="5123" max="5123" width="13.140625" style="135" customWidth="1"/>
    <col min="5124" max="5124" width="10.85546875" style="135" customWidth="1"/>
    <col min="5125" max="5125" width="9.28515625" style="135" bestFit="1" customWidth="1"/>
    <col min="5126" max="5126" width="12.140625" style="135" customWidth="1"/>
    <col min="5127" max="5127" width="12.7109375" style="135" customWidth="1"/>
    <col min="5128" max="5128" width="9.28515625" style="135" customWidth="1"/>
    <col min="5129" max="5129" width="9.28515625" style="135" bestFit="1" customWidth="1"/>
    <col min="5130" max="5130" width="13.140625" style="135" customWidth="1"/>
    <col min="5131" max="5131" width="13.5703125" style="135" customWidth="1"/>
    <col min="5132" max="5132" width="9.5703125" style="135" customWidth="1"/>
    <col min="5133" max="5133" width="14.85546875" style="135" customWidth="1"/>
    <col min="5134" max="5373" width="9.140625" style="135"/>
    <col min="5374" max="5374" width="5.5703125" style="135" customWidth="1"/>
    <col min="5375" max="5375" width="33.5703125" style="135" customWidth="1"/>
    <col min="5376" max="5376" width="15.5703125" style="135" customWidth="1"/>
    <col min="5377" max="5377" width="9.5703125" style="135" customWidth="1"/>
    <col min="5378" max="5378" width="11.7109375" style="135" customWidth="1"/>
    <col min="5379" max="5379" width="13.140625" style="135" customWidth="1"/>
    <col min="5380" max="5380" width="10.85546875" style="135" customWidth="1"/>
    <col min="5381" max="5381" width="9.28515625" style="135" bestFit="1" customWidth="1"/>
    <col min="5382" max="5382" width="12.140625" style="135" customWidth="1"/>
    <col min="5383" max="5383" width="12.7109375" style="135" customWidth="1"/>
    <col min="5384" max="5384" width="9.28515625" style="135" customWidth="1"/>
    <col min="5385" max="5385" width="9.28515625" style="135" bestFit="1" customWidth="1"/>
    <col min="5386" max="5386" width="13.140625" style="135" customWidth="1"/>
    <col min="5387" max="5387" width="13.5703125" style="135" customWidth="1"/>
    <col min="5388" max="5388" width="9.5703125" style="135" customWidth="1"/>
    <col min="5389" max="5389" width="14.85546875" style="135" customWidth="1"/>
    <col min="5390" max="5629" width="9.140625" style="135"/>
    <col min="5630" max="5630" width="5.5703125" style="135" customWidth="1"/>
    <col min="5631" max="5631" width="33.5703125" style="135" customWidth="1"/>
    <col min="5632" max="5632" width="15.5703125" style="135" customWidth="1"/>
    <col min="5633" max="5633" width="9.5703125" style="135" customWidth="1"/>
    <col min="5634" max="5634" width="11.7109375" style="135" customWidth="1"/>
    <col min="5635" max="5635" width="13.140625" style="135" customWidth="1"/>
    <col min="5636" max="5636" width="10.85546875" style="135" customWidth="1"/>
    <col min="5637" max="5637" width="9.28515625" style="135" bestFit="1" customWidth="1"/>
    <col min="5638" max="5638" width="12.140625" style="135" customWidth="1"/>
    <col min="5639" max="5639" width="12.7109375" style="135" customWidth="1"/>
    <col min="5640" max="5640" width="9.28515625" style="135" customWidth="1"/>
    <col min="5641" max="5641" width="9.28515625" style="135" bestFit="1" customWidth="1"/>
    <col min="5642" max="5642" width="13.140625" style="135" customWidth="1"/>
    <col min="5643" max="5643" width="13.5703125" style="135" customWidth="1"/>
    <col min="5644" max="5644" width="9.5703125" style="135" customWidth="1"/>
    <col min="5645" max="5645" width="14.85546875" style="135" customWidth="1"/>
    <col min="5646" max="5885" width="9.140625" style="135"/>
    <col min="5886" max="5886" width="5.5703125" style="135" customWidth="1"/>
    <col min="5887" max="5887" width="33.5703125" style="135" customWidth="1"/>
    <col min="5888" max="5888" width="15.5703125" style="135" customWidth="1"/>
    <col min="5889" max="5889" width="9.5703125" style="135" customWidth="1"/>
    <col min="5890" max="5890" width="11.7109375" style="135" customWidth="1"/>
    <col min="5891" max="5891" width="13.140625" style="135" customWidth="1"/>
    <col min="5892" max="5892" width="10.85546875" style="135" customWidth="1"/>
    <col min="5893" max="5893" width="9.28515625" style="135" bestFit="1" customWidth="1"/>
    <col min="5894" max="5894" width="12.140625" style="135" customWidth="1"/>
    <col min="5895" max="5895" width="12.7109375" style="135" customWidth="1"/>
    <col min="5896" max="5896" width="9.28515625" style="135" customWidth="1"/>
    <col min="5897" max="5897" width="9.28515625" style="135" bestFit="1" customWidth="1"/>
    <col min="5898" max="5898" width="13.140625" style="135" customWidth="1"/>
    <col min="5899" max="5899" width="13.5703125" style="135" customWidth="1"/>
    <col min="5900" max="5900" width="9.5703125" style="135" customWidth="1"/>
    <col min="5901" max="5901" width="14.85546875" style="135" customWidth="1"/>
    <col min="5902" max="6141" width="9.140625" style="135"/>
    <col min="6142" max="6142" width="5.5703125" style="135" customWidth="1"/>
    <col min="6143" max="6143" width="33.5703125" style="135" customWidth="1"/>
    <col min="6144" max="6144" width="15.5703125" style="135" customWidth="1"/>
    <col min="6145" max="6145" width="9.5703125" style="135" customWidth="1"/>
    <col min="6146" max="6146" width="11.7109375" style="135" customWidth="1"/>
    <col min="6147" max="6147" width="13.140625" style="135" customWidth="1"/>
    <col min="6148" max="6148" width="10.85546875" style="135" customWidth="1"/>
    <col min="6149" max="6149" width="9.28515625" style="135" bestFit="1" customWidth="1"/>
    <col min="6150" max="6150" width="12.140625" style="135" customWidth="1"/>
    <col min="6151" max="6151" width="12.7109375" style="135" customWidth="1"/>
    <col min="6152" max="6152" width="9.28515625" style="135" customWidth="1"/>
    <col min="6153" max="6153" width="9.28515625" style="135" bestFit="1" customWidth="1"/>
    <col min="6154" max="6154" width="13.140625" style="135" customWidth="1"/>
    <col min="6155" max="6155" width="13.5703125" style="135" customWidth="1"/>
    <col min="6156" max="6156" width="9.5703125" style="135" customWidth="1"/>
    <col min="6157" max="6157" width="14.85546875" style="135" customWidth="1"/>
    <col min="6158" max="6397" width="9.140625" style="135"/>
    <col min="6398" max="6398" width="5.5703125" style="135" customWidth="1"/>
    <col min="6399" max="6399" width="33.5703125" style="135" customWidth="1"/>
    <col min="6400" max="6400" width="15.5703125" style="135" customWidth="1"/>
    <col min="6401" max="6401" width="9.5703125" style="135" customWidth="1"/>
    <col min="6402" max="6402" width="11.7109375" style="135" customWidth="1"/>
    <col min="6403" max="6403" width="13.140625" style="135" customWidth="1"/>
    <col min="6404" max="6404" width="10.85546875" style="135" customWidth="1"/>
    <col min="6405" max="6405" width="9.28515625" style="135" bestFit="1" customWidth="1"/>
    <col min="6406" max="6406" width="12.140625" style="135" customWidth="1"/>
    <col min="6407" max="6407" width="12.7109375" style="135" customWidth="1"/>
    <col min="6408" max="6408" width="9.28515625" style="135" customWidth="1"/>
    <col min="6409" max="6409" width="9.28515625" style="135" bestFit="1" customWidth="1"/>
    <col min="6410" max="6410" width="13.140625" style="135" customWidth="1"/>
    <col min="6411" max="6411" width="13.5703125" style="135" customWidth="1"/>
    <col min="6412" max="6412" width="9.5703125" style="135" customWidth="1"/>
    <col min="6413" max="6413" width="14.85546875" style="135" customWidth="1"/>
    <col min="6414" max="6653" width="9.140625" style="135"/>
    <col min="6654" max="6654" width="5.5703125" style="135" customWidth="1"/>
    <col min="6655" max="6655" width="33.5703125" style="135" customWidth="1"/>
    <col min="6656" max="6656" width="15.5703125" style="135" customWidth="1"/>
    <col min="6657" max="6657" width="9.5703125" style="135" customWidth="1"/>
    <col min="6658" max="6658" width="11.7109375" style="135" customWidth="1"/>
    <col min="6659" max="6659" width="13.140625" style="135" customWidth="1"/>
    <col min="6660" max="6660" width="10.85546875" style="135" customWidth="1"/>
    <col min="6661" max="6661" width="9.28515625" style="135" bestFit="1" customWidth="1"/>
    <col min="6662" max="6662" width="12.140625" style="135" customWidth="1"/>
    <col min="6663" max="6663" width="12.7109375" style="135" customWidth="1"/>
    <col min="6664" max="6664" width="9.28515625" style="135" customWidth="1"/>
    <col min="6665" max="6665" width="9.28515625" style="135" bestFit="1" customWidth="1"/>
    <col min="6666" max="6666" width="13.140625" style="135" customWidth="1"/>
    <col min="6667" max="6667" width="13.5703125" style="135" customWidth="1"/>
    <col min="6668" max="6668" width="9.5703125" style="135" customWidth="1"/>
    <col min="6669" max="6669" width="14.85546875" style="135" customWidth="1"/>
    <col min="6670" max="6909" width="9.140625" style="135"/>
    <col min="6910" max="6910" width="5.5703125" style="135" customWidth="1"/>
    <col min="6911" max="6911" width="33.5703125" style="135" customWidth="1"/>
    <col min="6912" max="6912" width="15.5703125" style="135" customWidth="1"/>
    <col min="6913" max="6913" width="9.5703125" style="135" customWidth="1"/>
    <col min="6914" max="6914" width="11.7109375" style="135" customWidth="1"/>
    <col min="6915" max="6915" width="13.140625" style="135" customWidth="1"/>
    <col min="6916" max="6916" width="10.85546875" style="135" customWidth="1"/>
    <col min="6917" max="6917" width="9.28515625" style="135" bestFit="1" customWidth="1"/>
    <col min="6918" max="6918" width="12.140625" style="135" customWidth="1"/>
    <col min="6919" max="6919" width="12.7109375" style="135" customWidth="1"/>
    <col min="6920" max="6920" width="9.28515625" style="135" customWidth="1"/>
    <col min="6921" max="6921" width="9.28515625" style="135" bestFit="1" customWidth="1"/>
    <col min="6922" max="6922" width="13.140625" style="135" customWidth="1"/>
    <col min="6923" max="6923" width="13.5703125" style="135" customWidth="1"/>
    <col min="6924" max="6924" width="9.5703125" style="135" customWidth="1"/>
    <col min="6925" max="6925" width="14.85546875" style="135" customWidth="1"/>
    <col min="6926" max="7165" width="9.140625" style="135"/>
    <col min="7166" max="7166" width="5.5703125" style="135" customWidth="1"/>
    <col min="7167" max="7167" width="33.5703125" style="135" customWidth="1"/>
    <col min="7168" max="7168" width="15.5703125" style="135" customWidth="1"/>
    <col min="7169" max="7169" width="9.5703125" style="135" customWidth="1"/>
    <col min="7170" max="7170" width="11.7109375" style="135" customWidth="1"/>
    <col min="7171" max="7171" width="13.140625" style="135" customWidth="1"/>
    <col min="7172" max="7172" width="10.85546875" style="135" customWidth="1"/>
    <col min="7173" max="7173" width="9.28515625" style="135" bestFit="1" customWidth="1"/>
    <col min="7174" max="7174" width="12.140625" style="135" customWidth="1"/>
    <col min="7175" max="7175" width="12.7109375" style="135" customWidth="1"/>
    <col min="7176" max="7176" width="9.28515625" style="135" customWidth="1"/>
    <col min="7177" max="7177" width="9.28515625" style="135" bestFit="1" customWidth="1"/>
    <col min="7178" max="7178" width="13.140625" style="135" customWidth="1"/>
    <col min="7179" max="7179" width="13.5703125" style="135" customWidth="1"/>
    <col min="7180" max="7180" width="9.5703125" style="135" customWidth="1"/>
    <col min="7181" max="7181" width="14.85546875" style="135" customWidth="1"/>
    <col min="7182" max="7421" width="9.140625" style="135"/>
    <col min="7422" max="7422" width="5.5703125" style="135" customWidth="1"/>
    <col min="7423" max="7423" width="33.5703125" style="135" customWidth="1"/>
    <col min="7424" max="7424" width="15.5703125" style="135" customWidth="1"/>
    <col min="7425" max="7425" width="9.5703125" style="135" customWidth="1"/>
    <col min="7426" max="7426" width="11.7109375" style="135" customWidth="1"/>
    <col min="7427" max="7427" width="13.140625" style="135" customWidth="1"/>
    <col min="7428" max="7428" width="10.85546875" style="135" customWidth="1"/>
    <col min="7429" max="7429" width="9.28515625" style="135" bestFit="1" customWidth="1"/>
    <col min="7430" max="7430" width="12.140625" style="135" customWidth="1"/>
    <col min="7431" max="7431" width="12.7109375" style="135" customWidth="1"/>
    <col min="7432" max="7432" width="9.28515625" style="135" customWidth="1"/>
    <col min="7433" max="7433" width="9.28515625" style="135" bestFit="1" customWidth="1"/>
    <col min="7434" max="7434" width="13.140625" style="135" customWidth="1"/>
    <col min="7435" max="7435" width="13.5703125" style="135" customWidth="1"/>
    <col min="7436" max="7436" width="9.5703125" style="135" customWidth="1"/>
    <col min="7437" max="7437" width="14.85546875" style="135" customWidth="1"/>
    <col min="7438" max="7677" width="9.140625" style="135"/>
    <col min="7678" max="7678" width="5.5703125" style="135" customWidth="1"/>
    <col min="7679" max="7679" width="33.5703125" style="135" customWidth="1"/>
    <col min="7680" max="7680" width="15.5703125" style="135" customWidth="1"/>
    <col min="7681" max="7681" width="9.5703125" style="135" customWidth="1"/>
    <col min="7682" max="7682" width="11.7109375" style="135" customWidth="1"/>
    <col min="7683" max="7683" width="13.140625" style="135" customWidth="1"/>
    <col min="7684" max="7684" width="10.85546875" style="135" customWidth="1"/>
    <col min="7685" max="7685" width="9.28515625" style="135" bestFit="1" customWidth="1"/>
    <col min="7686" max="7686" width="12.140625" style="135" customWidth="1"/>
    <col min="7687" max="7687" width="12.7109375" style="135" customWidth="1"/>
    <col min="7688" max="7688" width="9.28515625" style="135" customWidth="1"/>
    <col min="7689" max="7689" width="9.28515625" style="135" bestFit="1" customWidth="1"/>
    <col min="7690" max="7690" width="13.140625" style="135" customWidth="1"/>
    <col min="7691" max="7691" width="13.5703125" style="135" customWidth="1"/>
    <col min="7692" max="7692" width="9.5703125" style="135" customWidth="1"/>
    <col min="7693" max="7693" width="14.85546875" style="135" customWidth="1"/>
    <col min="7694" max="7933" width="9.140625" style="135"/>
    <col min="7934" max="7934" width="5.5703125" style="135" customWidth="1"/>
    <col min="7935" max="7935" width="33.5703125" style="135" customWidth="1"/>
    <col min="7936" max="7936" width="15.5703125" style="135" customWidth="1"/>
    <col min="7937" max="7937" width="9.5703125" style="135" customWidth="1"/>
    <col min="7938" max="7938" width="11.7109375" style="135" customWidth="1"/>
    <col min="7939" max="7939" width="13.140625" style="135" customWidth="1"/>
    <col min="7940" max="7940" width="10.85546875" style="135" customWidth="1"/>
    <col min="7941" max="7941" width="9.28515625" style="135" bestFit="1" customWidth="1"/>
    <col min="7942" max="7942" width="12.140625" style="135" customWidth="1"/>
    <col min="7943" max="7943" width="12.7109375" style="135" customWidth="1"/>
    <col min="7944" max="7944" width="9.28515625" style="135" customWidth="1"/>
    <col min="7945" max="7945" width="9.28515625" style="135" bestFit="1" customWidth="1"/>
    <col min="7946" max="7946" width="13.140625" style="135" customWidth="1"/>
    <col min="7947" max="7947" width="13.5703125" style="135" customWidth="1"/>
    <col min="7948" max="7948" width="9.5703125" style="135" customWidth="1"/>
    <col min="7949" max="7949" width="14.85546875" style="135" customWidth="1"/>
    <col min="7950" max="8189" width="9.140625" style="135"/>
    <col min="8190" max="8190" width="5.5703125" style="135" customWidth="1"/>
    <col min="8191" max="8191" width="33.5703125" style="135" customWidth="1"/>
    <col min="8192" max="8192" width="15.5703125" style="135" customWidth="1"/>
    <col min="8193" max="8193" width="9.5703125" style="135" customWidth="1"/>
    <col min="8194" max="8194" width="11.7109375" style="135" customWidth="1"/>
    <col min="8195" max="8195" width="13.140625" style="135" customWidth="1"/>
    <col min="8196" max="8196" width="10.85546875" style="135" customWidth="1"/>
    <col min="8197" max="8197" width="9.28515625" style="135" bestFit="1" customWidth="1"/>
    <col min="8198" max="8198" width="12.140625" style="135" customWidth="1"/>
    <col min="8199" max="8199" width="12.7109375" style="135" customWidth="1"/>
    <col min="8200" max="8200" width="9.28515625" style="135" customWidth="1"/>
    <col min="8201" max="8201" width="9.28515625" style="135" bestFit="1" customWidth="1"/>
    <col min="8202" max="8202" width="13.140625" style="135" customWidth="1"/>
    <col min="8203" max="8203" width="13.5703125" style="135" customWidth="1"/>
    <col min="8204" max="8204" width="9.5703125" style="135" customWidth="1"/>
    <col min="8205" max="8205" width="14.85546875" style="135" customWidth="1"/>
    <col min="8206" max="8445" width="9.140625" style="135"/>
    <col min="8446" max="8446" width="5.5703125" style="135" customWidth="1"/>
    <col min="8447" max="8447" width="33.5703125" style="135" customWidth="1"/>
    <col min="8448" max="8448" width="15.5703125" style="135" customWidth="1"/>
    <col min="8449" max="8449" width="9.5703125" style="135" customWidth="1"/>
    <col min="8450" max="8450" width="11.7109375" style="135" customWidth="1"/>
    <col min="8451" max="8451" width="13.140625" style="135" customWidth="1"/>
    <col min="8452" max="8452" width="10.85546875" style="135" customWidth="1"/>
    <col min="8453" max="8453" width="9.28515625" style="135" bestFit="1" customWidth="1"/>
    <col min="8454" max="8454" width="12.140625" style="135" customWidth="1"/>
    <col min="8455" max="8455" width="12.7109375" style="135" customWidth="1"/>
    <col min="8456" max="8456" width="9.28515625" style="135" customWidth="1"/>
    <col min="8457" max="8457" width="9.28515625" style="135" bestFit="1" customWidth="1"/>
    <col min="8458" max="8458" width="13.140625" style="135" customWidth="1"/>
    <col min="8459" max="8459" width="13.5703125" style="135" customWidth="1"/>
    <col min="8460" max="8460" width="9.5703125" style="135" customWidth="1"/>
    <col min="8461" max="8461" width="14.85546875" style="135" customWidth="1"/>
    <col min="8462" max="8701" width="9.140625" style="135"/>
    <col min="8702" max="8702" width="5.5703125" style="135" customWidth="1"/>
    <col min="8703" max="8703" width="33.5703125" style="135" customWidth="1"/>
    <col min="8704" max="8704" width="15.5703125" style="135" customWidth="1"/>
    <col min="8705" max="8705" width="9.5703125" style="135" customWidth="1"/>
    <col min="8706" max="8706" width="11.7109375" style="135" customWidth="1"/>
    <col min="8707" max="8707" width="13.140625" style="135" customWidth="1"/>
    <col min="8708" max="8708" width="10.85546875" style="135" customWidth="1"/>
    <col min="8709" max="8709" width="9.28515625" style="135" bestFit="1" customWidth="1"/>
    <col min="8710" max="8710" width="12.140625" style="135" customWidth="1"/>
    <col min="8711" max="8711" width="12.7109375" style="135" customWidth="1"/>
    <col min="8712" max="8712" width="9.28515625" style="135" customWidth="1"/>
    <col min="8713" max="8713" width="9.28515625" style="135" bestFit="1" customWidth="1"/>
    <col min="8714" max="8714" width="13.140625" style="135" customWidth="1"/>
    <col min="8715" max="8715" width="13.5703125" style="135" customWidth="1"/>
    <col min="8716" max="8716" width="9.5703125" style="135" customWidth="1"/>
    <col min="8717" max="8717" width="14.85546875" style="135" customWidth="1"/>
    <col min="8718" max="8957" width="9.140625" style="135"/>
    <col min="8958" max="8958" width="5.5703125" style="135" customWidth="1"/>
    <col min="8959" max="8959" width="33.5703125" style="135" customWidth="1"/>
    <col min="8960" max="8960" width="15.5703125" style="135" customWidth="1"/>
    <col min="8961" max="8961" width="9.5703125" style="135" customWidth="1"/>
    <col min="8962" max="8962" width="11.7109375" style="135" customWidth="1"/>
    <col min="8963" max="8963" width="13.140625" style="135" customWidth="1"/>
    <col min="8964" max="8964" width="10.85546875" style="135" customWidth="1"/>
    <col min="8965" max="8965" width="9.28515625" style="135" bestFit="1" customWidth="1"/>
    <col min="8966" max="8966" width="12.140625" style="135" customWidth="1"/>
    <col min="8967" max="8967" width="12.7109375" style="135" customWidth="1"/>
    <col min="8968" max="8968" width="9.28515625" style="135" customWidth="1"/>
    <col min="8969" max="8969" width="9.28515625" style="135" bestFit="1" customWidth="1"/>
    <col min="8970" max="8970" width="13.140625" style="135" customWidth="1"/>
    <col min="8971" max="8971" width="13.5703125" style="135" customWidth="1"/>
    <col min="8972" max="8972" width="9.5703125" style="135" customWidth="1"/>
    <col min="8973" max="8973" width="14.85546875" style="135" customWidth="1"/>
    <col min="8974" max="9213" width="9.140625" style="135"/>
    <col min="9214" max="9214" width="5.5703125" style="135" customWidth="1"/>
    <col min="9215" max="9215" width="33.5703125" style="135" customWidth="1"/>
    <col min="9216" max="9216" width="15.5703125" style="135" customWidth="1"/>
    <col min="9217" max="9217" width="9.5703125" style="135" customWidth="1"/>
    <col min="9218" max="9218" width="11.7109375" style="135" customWidth="1"/>
    <col min="9219" max="9219" width="13.140625" style="135" customWidth="1"/>
    <col min="9220" max="9220" width="10.85546875" style="135" customWidth="1"/>
    <col min="9221" max="9221" width="9.28515625" style="135" bestFit="1" customWidth="1"/>
    <col min="9222" max="9222" width="12.140625" style="135" customWidth="1"/>
    <col min="9223" max="9223" width="12.7109375" style="135" customWidth="1"/>
    <col min="9224" max="9224" width="9.28515625" style="135" customWidth="1"/>
    <col min="9225" max="9225" width="9.28515625" style="135" bestFit="1" customWidth="1"/>
    <col min="9226" max="9226" width="13.140625" style="135" customWidth="1"/>
    <col min="9227" max="9227" width="13.5703125" style="135" customWidth="1"/>
    <col min="9228" max="9228" width="9.5703125" style="135" customWidth="1"/>
    <col min="9229" max="9229" width="14.85546875" style="135" customWidth="1"/>
    <col min="9230" max="9469" width="9.140625" style="135"/>
    <col min="9470" max="9470" width="5.5703125" style="135" customWidth="1"/>
    <col min="9471" max="9471" width="33.5703125" style="135" customWidth="1"/>
    <col min="9472" max="9472" width="15.5703125" style="135" customWidth="1"/>
    <col min="9473" max="9473" width="9.5703125" style="135" customWidth="1"/>
    <col min="9474" max="9474" width="11.7109375" style="135" customWidth="1"/>
    <col min="9475" max="9475" width="13.140625" style="135" customWidth="1"/>
    <col min="9476" max="9476" width="10.85546875" style="135" customWidth="1"/>
    <col min="9477" max="9477" width="9.28515625" style="135" bestFit="1" customWidth="1"/>
    <col min="9478" max="9478" width="12.140625" style="135" customWidth="1"/>
    <col min="9479" max="9479" width="12.7109375" style="135" customWidth="1"/>
    <col min="9480" max="9480" width="9.28515625" style="135" customWidth="1"/>
    <col min="9481" max="9481" width="9.28515625" style="135" bestFit="1" customWidth="1"/>
    <col min="9482" max="9482" width="13.140625" style="135" customWidth="1"/>
    <col min="9483" max="9483" width="13.5703125" style="135" customWidth="1"/>
    <col min="9484" max="9484" width="9.5703125" style="135" customWidth="1"/>
    <col min="9485" max="9485" width="14.85546875" style="135" customWidth="1"/>
    <col min="9486" max="9725" width="9.140625" style="135"/>
    <col min="9726" max="9726" width="5.5703125" style="135" customWidth="1"/>
    <col min="9727" max="9727" width="33.5703125" style="135" customWidth="1"/>
    <col min="9728" max="9728" width="15.5703125" style="135" customWidth="1"/>
    <col min="9729" max="9729" width="9.5703125" style="135" customWidth="1"/>
    <col min="9730" max="9730" width="11.7109375" style="135" customWidth="1"/>
    <col min="9731" max="9731" width="13.140625" style="135" customWidth="1"/>
    <col min="9732" max="9732" width="10.85546875" style="135" customWidth="1"/>
    <col min="9733" max="9733" width="9.28515625" style="135" bestFit="1" customWidth="1"/>
    <col min="9734" max="9734" width="12.140625" style="135" customWidth="1"/>
    <col min="9735" max="9735" width="12.7109375" style="135" customWidth="1"/>
    <col min="9736" max="9736" width="9.28515625" style="135" customWidth="1"/>
    <col min="9737" max="9737" width="9.28515625" style="135" bestFit="1" customWidth="1"/>
    <col min="9738" max="9738" width="13.140625" style="135" customWidth="1"/>
    <col min="9739" max="9739" width="13.5703125" style="135" customWidth="1"/>
    <col min="9740" max="9740" width="9.5703125" style="135" customWidth="1"/>
    <col min="9741" max="9741" width="14.85546875" style="135" customWidth="1"/>
    <col min="9742" max="9981" width="9.140625" style="135"/>
    <col min="9982" max="9982" width="5.5703125" style="135" customWidth="1"/>
    <col min="9983" max="9983" width="33.5703125" style="135" customWidth="1"/>
    <col min="9984" max="9984" width="15.5703125" style="135" customWidth="1"/>
    <col min="9985" max="9985" width="9.5703125" style="135" customWidth="1"/>
    <col min="9986" max="9986" width="11.7109375" style="135" customWidth="1"/>
    <col min="9987" max="9987" width="13.140625" style="135" customWidth="1"/>
    <col min="9988" max="9988" width="10.85546875" style="135" customWidth="1"/>
    <col min="9989" max="9989" width="9.28515625" style="135" bestFit="1" customWidth="1"/>
    <col min="9990" max="9990" width="12.140625" style="135" customWidth="1"/>
    <col min="9991" max="9991" width="12.7109375" style="135" customWidth="1"/>
    <col min="9992" max="9992" width="9.28515625" style="135" customWidth="1"/>
    <col min="9993" max="9993" width="9.28515625" style="135" bestFit="1" customWidth="1"/>
    <col min="9994" max="9994" width="13.140625" style="135" customWidth="1"/>
    <col min="9995" max="9995" width="13.5703125" style="135" customWidth="1"/>
    <col min="9996" max="9996" width="9.5703125" style="135" customWidth="1"/>
    <col min="9997" max="9997" width="14.85546875" style="135" customWidth="1"/>
    <col min="9998" max="10237" width="9.140625" style="135"/>
    <col min="10238" max="10238" width="5.5703125" style="135" customWidth="1"/>
    <col min="10239" max="10239" width="33.5703125" style="135" customWidth="1"/>
    <col min="10240" max="10240" width="15.5703125" style="135" customWidth="1"/>
    <col min="10241" max="10241" width="9.5703125" style="135" customWidth="1"/>
    <col min="10242" max="10242" width="11.7109375" style="135" customWidth="1"/>
    <col min="10243" max="10243" width="13.140625" style="135" customWidth="1"/>
    <col min="10244" max="10244" width="10.85546875" style="135" customWidth="1"/>
    <col min="10245" max="10245" width="9.28515625" style="135" bestFit="1" customWidth="1"/>
    <col min="10246" max="10246" width="12.140625" style="135" customWidth="1"/>
    <col min="10247" max="10247" width="12.7109375" style="135" customWidth="1"/>
    <col min="10248" max="10248" width="9.28515625" style="135" customWidth="1"/>
    <col min="10249" max="10249" width="9.28515625" style="135" bestFit="1" customWidth="1"/>
    <col min="10250" max="10250" width="13.140625" style="135" customWidth="1"/>
    <col min="10251" max="10251" width="13.5703125" style="135" customWidth="1"/>
    <col min="10252" max="10252" width="9.5703125" style="135" customWidth="1"/>
    <col min="10253" max="10253" width="14.85546875" style="135" customWidth="1"/>
    <col min="10254" max="10493" width="9.140625" style="135"/>
    <col min="10494" max="10494" width="5.5703125" style="135" customWidth="1"/>
    <col min="10495" max="10495" width="33.5703125" style="135" customWidth="1"/>
    <col min="10496" max="10496" width="15.5703125" style="135" customWidth="1"/>
    <col min="10497" max="10497" width="9.5703125" style="135" customWidth="1"/>
    <col min="10498" max="10498" width="11.7109375" style="135" customWidth="1"/>
    <col min="10499" max="10499" width="13.140625" style="135" customWidth="1"/>
    <col min="10500" max="10500" width="10.85546875" style="135" customWidth="1"/>
    <col min="10501" max="10501" width="9.28515625" style="135" bestFit="1" customWidth="1"/>
    <col min="10502" max="10502" width="12.140625" style="135" customWidth="1"/>
    <col min="10503" max="10503" width="12.7109375" style="135" customWidth="1"/>
    <col min="10504" max="10504" width="9.28515625" style="135" customWidth="1"/>
    <col min="10505" max="10505" width="9.28515625" style="135" bestFit="1" customWidth="1"/>
    <col min="10506" max="10506" width="13.140625" style="135" customWidth="1"/>
    <col min="10507" max="10507" width="13.5703125" style="135" customWidth="1"/>
    <col min="10508" max="10508" width="9.5703125" style="135" customWidth="1"/>
    <col min="10509" max="10509" width="14.85546875" style="135" customWidth="1"/>
    <col min="10510" max="10749" width="9.140625" style="135"/>
    <col min="10750" max="10750" width="5.5703125" style="135" customWidth="1"/>
    <col min="10751" max="10751" width="33.5703125" style="135" customWidth="1"/>
    <col min="10752" max="10752" width="15.5703125" style="135" customWidth="1"/>
    <col min="10753" max="10753" width="9.5703125" style="135" customWidth="1"/>
    <col min="10754" max="10754" width="11.7109375" style="135" customWidth="1"/>
    <col min="10755" max="10755" width="13.140625" style="135" customWidth="1"/>
    <col min="10756" max="10756" width="10.85546875" style="135" customWidth="1"/>
    <col min="10757" max="10757" width="9.28515625" style="135" bestFit="1" customWidth="1"/>
    <col min="10758" max="10758" width="12.140625" style="135" customWidth="1"/>
    <col min="10759" max="10759" width="12.7109375" style="135" customWidth="1"/>
    <col min="10760" max="10760" width="9.28515625" style="135" customWidth="1"/>
    <col min="10761" max="10761" width="9.28515625" style="135" bestFit="1" customWidth="1"/>
    <col min="10762" max="10762" width="13.140625" style="135" customWidth="1"/>
    <col min="10763" max="10763" width="13.5703125" style="135" customWidth="1"/>
    <col min="10764" max="10764" width="9.5703125" style="135" customWidth="1"/>
    <col min="10765" max="10765" width="14.85546875" style="135" customWidth="1"/>
    <col min="10766" max="11005" width="9.140625" style="135"/>
    <col min="11006" max="11006" width="5.5703125" style="135" customWidth="1"/>
    <col min="11007" max="11007" width="33.5703125" style="135" customWidth="1"/>
    <col min="11008" max="11008" width="15.5703125" style="135" customWidth="1"/>
    <col min="11009" max="11009" width="9.5703125" style="135" customWidth="1"/>
    <col min="11010" max="11010" width="11.7109375" style="135" customWidth="1"/>
    <col min="11011" max="11011" width="13.140625" style="135" customWidth="1"/>
    <col min="11012" max="11012" width="10.85546875" style="135" customWidth="1"/>
    <col min="11013" max="11013" width="9.28515625" style="135" bestFit="1" customWidth="1"/>
    <col min="11014" max="11014" width="12.140625" style="135" customWidth="1"/>
    <col min="11015" max="11015" width="12.7109375" style="135" customWidth="1"/>
    <col min="11016" max="11016" width="9.28515625" style="135" customWidth="1"/>
    <col min="11017" max="11017" width="9.28515625" style="135" bestFit="1" customWidth="1"/>
    <col min="11018" max="11018" width="13.140625" style="135" customWidth="1"/>
    <col min="11019" max="11019" width="13.5703125" style="135" customWidth="1"/>
    <col min="11020" max="11020" width="9.5703125" style="135" customWidth="1"/>
    <col min="11021" max="11021" width="14.85546875" style="135" customWidth="1"/>
    <col min="11022" max="11261" width="9.140625" style="135"/>
    <col min="11262" max="11262" width="5.5703125" style="135" customWidth="1"/>
    <col min="11263" max="11263" width="33.5703125" style="135" customWidth="1"/>
    <col min="11264" max="11264" width="15.5703125" style="135" customWidth="1"/>
    <col min="11265" max="11265" width="9.5703125" style="135" customWidth="1"/>
    <col min="11266" max="11266" width="11.7109375" style="135" customWidth="1"/>
    <col min="11267" max="11267" width="13.140625" style="135" customWidth="1"/>
    <col min="11268" max="11268" width="10.85546875" style="135" customWidth="1"/>
    <col min="11269" max="11269" width="9.28515625" style="135" bestFit="1" customWidth="1"/>
    <col min="11270" max="11270" width="12.140625" style="135" customWidth="1"/>
    <col min="11271" max="11271" width="12.7109375" style="135" customWidth="1"/>
    <col min="11272" max="11272" width="9.28515625" style="135" customWidth="1"/>
    <col min="11273" max="11273" width="9.28515625" style="135" bestFit="1" customWidth="1"/>
    <col min="11274" max="11274" width="13.140625" style="135" customWidth="1"/>
    <col min="11275" max="11275" width="13.5703125" style="135" customWidth="1"/>
    <col min="11276" max="11276" width="9.5703125" style="135" customWidth="1"/>
    <col min="11277" max="11277" width="14.85546875" style="135" customWidth="1"/>
    <col min="11278" max="11517" width="9.140625" style="135"/>
    <col min="11518" max="11518" width="5.5703125" style="135" customWidth="1"/>
    <col min="11519" max="11519" width="33.5703125" style="135" customWidth="1"/>
    <col min="11520" max="11520" width="15.5703125" style="135" customWidth="1"/>
    <col min="11521" max="11521" width="9.5703125" style="135" customWidth="1"/>
    <col min="11522" max="11522" width="11.7109375" style="135" customWidth="1"/>
    <col min="11523" max="11523" width="13.140625" style="135" customWidth="1"/>
    <col min="11524" max="11524" width="10.85546875" style="135" customWidth="1"/>
    <col min="11525" max="11525" width="9.28515625" style="135" bestFit="1" customWidth="1"/>
    <col min="11526" max="11526" width="12.140625" style="135" customWidth="1"/>
    <col min="11527" max="11527" width="12.7109375" style="135" customWidth="1"/>
    <col min="11528" max="11528" width="9.28515625" style="135" customWidth="1"/>
    <col min="11529" max="11529" width="9.28515625" style="135" bestFit="1" customWidth="1"/>
    <col min="11530" max="11530" width="13.140625" style="135" customWidth="1"/>
    <col min="11531" max="11531" width="13.5703125" style="135" customWidth="1"/>
    <col min="11532" max="11532" width="9.5703125" style="135" customWidth="1"/>
    <col min="11533" max="11533" width="14.85546875" style="135" customWidth="1"/>
    <col min="11534" max="11773" width="9.140625" style="135"/>
    <col min="11774" max="11774" width="5.5703125" style="135" customWidth="1"/>
    <col min="11775" max="11775" width="33.5703125" style="135" customWidth="1"/>
    <col min="11776" max="11776" width="15.5703125" style="135" customWidth="1"/>
    <col min="11777" max="11777" width="9.5703125" style="135" customWidth="1"/>
    <col min="11778" max="11778" width="11.7109375" style="135" customWidth="1"/>
    <col min="11779" max="11779" width="13.140625" style="135" customWidth="1"/>
    <col min="11780" max="11780" width="10.85546875" style="135" customWidth="1"/>
    <col min="11781" max="11781" width="9.28515625" style="135" bestFit="1" customWidth="1"/>
    <col min="11782" max="11782" width="12.140625" style="135" customWidth="1"/>
    <col min="11783" max="11783" width="12.7109375" style="135" customWidth="1"/>
    <col min="11784" max="11784" width="9.28515625" style="135" customWidth="1"/>
    <col min="11785" max="11785" width="9.28515625" style="135" bestFit="1" customWidth="1"/>
    <col min="11786" max="11786" width="13.140625" style="135" customWidth="1"/>
    <col min="11787" max="11787" width="13.5703125" style="135" customWidth="1"/>
    <col min="11788" max="11788" width="9.5703125" style="135" customWidth="1"/>
    <col min="11789" max="11789" width="14.85546875" style="135" customWidth="1"/>
    <col min="11790" max="12029" width="9.140625" style="135"/>
    <col min="12030" max="12030" width="5.5703125" style="135" customWidth="1"/>
    <col min="12031" max="12031" width="33.5703125" style="135" customWidth="1"/>
    <col min="12032" max="12032" width="15.5703125" style="135" customWidth="1"/>
    <col min="12033" max="12033" width="9.5703125" style="135" customWidth="1"/>
    <col min="12034" max="12034" width="11.7109375" style="135" customWidth="1"/>
    <col min="12035" max="12035" width="13.140625" style="135" customWidth="1"/>
    <col min="12036" max="12036" width="10.85546875" style="135" customWidth="1"/>
    <col min="12037" max="12037" width="9.28515625" style="135" bestFit="1" customWidth="1"/>
    <col min="12038" max="12038" width="12.140625" style="135" customWidth="1"/>
    <col min="12039" max="12039" width="12.7109375" style="135" customWidth="1"/>
    <col min="12040" max="12040" width="9.28515625" style="135" customWidth="1"/>
    <col min="12041" max="12041" width="9.28515625" style="135" bestFit="1" customWidth="1"/>
    <col min="12042" max="12042" width="13.140625" style="135" customWidth="1"/>
    <col min="12043" max="12043" width="13.5703125" style="135" customWidth="1"/>
    <col min="12044" max="12044" width="9.5703125" style="135" customWidth="1"/>
    <col min="12045" max="12045" width="14.85546875" style="135" customWidth="1"/>
    <col min="12046" max="12285" width="9.140625" style="135"/>
    <col min="12286" max="12286" width="5.5703125" style="135" customWidth="1"/>
    <col min="12287" max="12287" width="33.5703125" style="135" customWidth="1"/>
    <col min="12288" max="12288" width="15.5703125" style="135" customWidth="1"/>
    <col min="12289" max="12289" width="9.5703125" style="135" customWidth="1"/>
    <col min="12290" max="12290" width="11.7109375" style="135" customWidth="1"/>
    <col min="12291" max="12291" width="13.140625" style="135" customWidth="1"/>
    <col min="12292" max="12292" width="10.85546875" style="135" customWidth="1"/>
    <col min="12293" max="12293" width="9.28515625" style="135" bestFit="1" customWidth="1"/>
    <col min="12294" max="12294" width="12.140625" style="135" customWidth="1"/>
    <col min="12295" max="12295" width="12.7109375" style="135" customWidth="1"/>
    <col min="12296" max="12296" width="9.28515625" style="135" customWidth="1"/>
    <col min="12297" max="12297" width="9.28515625" style="135" bestFit="1" customWidth="1"/>
    <col min="12298" max="12298" width="13.140625" style="135" customWidth="1"/>
    <col min="12299" max="12299" width="13.5703125" style="135" customWidth="1"/>
    <col min="12300" max="12300" width="9.5703125" style="135" customWidth="1"/>
    <col min="12301" max="12301" width="14.85546875" style="135" customWidth="1"/>
    <col min="12302" max="12541" width="9.140625" style="135"/>
    <col min="12542" max="12542" width="5.5703125" style="135" customWidth="1"/>
    <col min="12543" max="12543" width="33.5703125" style="135" customWidth="1"/>
    <col min="12544" max="12544" width="15.5703125" style="135" customWidth="1"/>
    <col min="12545" max="12545" width="9.5703125" style="135" customWidth="1"/>
    <col min="12546" max="12546" width="11.7109375" style="135" customWidth="1"/>
    <col min="12547" max="12547" width="13.140625" style="135" customWidth="1"/>
    <col min="12548" max="12548" width="10.85546875" style="135" customWidth="1"/>
    <col min="12549" max="12549" width="9.28515625" style="135" bestFit="1" customWidth="1"/>
    <col min="12550" max="12550" width="12.140625" style="135" customWidth="1"/>
    <col min="12551" max="12551" width="12.7109375" style="135" customWidth="1"/>
    <col min="12552" max="12552" width="9.28515625" style="135" customWidth="1"/>
    <col min="12553" max="12553" width="9.28515625" style="135" bestFit="1" customWidth="1"/>
    <col min="12554" max="12554" width="13.140625" style="135" customWidth="1"/>
    <col min="12555" max="12555" width="13.5703125" style="135" customWidth="1"/>
    <col min="12556" max="12556" width="9.5703125" style="135" customWidth="1"/>
    <col min="12557" max="12557" width="14.85546875" style="135" customWidth="1"/>
    <col min="12558" max="12797" width="9.140625" style="135"/>
    <col min="12798" max="12798" width="5.5703125" style="135" customWidth="1"/>
    <col min="12799" max="12799" width="33.5703125" style="135" customWidth="1"/>
    <col min="12800" max="12800" width="15.5703125" style="135" customWidth="1"/>
    <col min="12801" max="12801" width="9.5703125" style="135" customWidth="1"/>
    <col min="12802" max="12802" width="11.7109375" style="135" customWidth="1"/>
    <col min="12803" max="12803" width="13.140625" style="135" customWidth="1"/>
    <col min="12804" max="12804" width="10.85546875" style="135" customWidth="1"/>
    <col min="12805" max="12805" width="9.28515625" style="135" bestFit="1" customWidth="1"/>
    <col min="12806" max="12806" width="12.140625" style="135" customWidth="1"/>
    <col min="12807" max="12807" width="12.7109375" style="135" customWidth="1"/>
    <col min="12808" max="12808" width="9.28515625" style="135" customWidth="1"/>
    <col min="12809" max="12809" width="9.28515625" style="135" bestFit="1" customWidth="1"/>
    <col min="12810" max="12810" width="13.140625" style="135" customWidth="1"/>
    <col min="12811" max="12811" width="13.5703125" style="135" customWidth="1"/>
    <col min="12812" max="12812" width="9.5703125" style="135" customWidth="1"/>
    <col min="12813" max="12813" width="14.85546875" style="135" customWidth="1"/>
    <col min="12814" max="13053" width="9.140625" style="135"/>
    <col min="13054" max="13054" width="5.5703125" style="135" customWidth="1"/>
    <col min="13055" max="13055" width="33.5703125" style="135" customWidth="1"/>
    <col min="13056" max="13056" width="15.5703125" style="135" customWidth="1"/>
    <col min="13057" max="13057" width="9.5703125" style="135" customWidth="1"/>
    <col min="13058" max="13058" width="11.7109375" style="135" customWidth="1"/>
    <col min="13059" max="13059" width="13.140625" style="135" customWidth="1"/>
    <col min="13060" max="13060" width="10.85546875" style="135" customWidth="1"/>
    <col min="13061" max="13061" width="9.28515625" style="135" bestFit="1" customWidth="1"/>
    <col min="13062" max="13062" width="12.140625" style="135" customWidth="1"/>
    <col min="13063" max="13063" width="12.7109375" style="135" customWidth="1"/>
    <col min="13064" max="13064" width="9.28515625" style="135" customWidth="1"/>
    <col min="13065" max="13065" width="9.28515625" style="135" bestFit="1" customWidth="1"/>
    <col min="13066" max="13066" width="13.140625" style="135" customWidth="1"/>
    <col min="13067" max="13067" width="13.5703125" style="135" customWidth="1"/>
    <col min="13068" max="13068" width="9.5703125" style="135" customWidth="1"/>
    <col min="13069" max="13069" width="14.85546875" style="135" customWidth="1"/>
    <col min="13070" max="13309" width="9.140625" style="135"/>
    <col min="13310" max="13310" width="5.5703125" style="135" customWidth="1"/>
    <col min="13311" max="13311" width="33.5703125" style="135" customWidth="1"/>
    <col min="13312" max="13312" width="15.5703125" style="135" customWidth="1"/>
    <col min="13313" max="13313" width="9.5703125" style="135" customWidth="1"/>
    <col min="13314" max="13314" width="11.7109375" style="135" customWidth="1"/>
    <col min="13315" max="13315" width="13.140625" style="135" customWidth="1"/>
    <col min="13316" max="13316" width="10.85546875" style="135" customWidth="1"/>
    <col min="13317" max="13317" width="9.28515625" style="135" bestFit="1" customWidth="1"/>
    <col min="13318" max="13318" width="12.140625" style="135" customWidth="1"/>
    <col min="13319" max="13319" width="12.7109375" style="135" customWidth="1"/>
    <col min="13320" max="13320" width="9.28515625" style="135" customWidth="1"/>
    <col min="13321" max="13321" width="9.28515625" style="135" bestFit="1" customWidth="1"/>
    <col min="13322" max="13322" width="13.140625" style="135" customWidth="1"/>
    <col min="13323" max="13323" width="13.5703125" style="135" customWidth="1"/>
    <col min="13324" max="13324" width="9.5703125" style="135" customWidth="1"/>
    <col min="13325" max="13325" width="14.85546875" style="135" customWidth="1"/>
    <col min="13326" max="13565" width="9.140625" style="135"/>
    <col min="13566" max="13566" width="5.5703125" style="135" customWidth="1"/>
    <col min="13567" max="13567" width="33.5703125" style="135" customWidth="1"/>
    <col min="13568" max="13568" width="15.5703125" style="135" customWidth="1"/>
    <col min="13569" max="13569" width="9.5703125" style="135" customWidth="1"/>
    <col min="13570" max="13570" width="11.7109375" style="135" customWidth="1"/>
    <col min="13571" max="13571" width="13.140625" style="135" customWidth="1"/>
    <col min="13572" max="13572" width="10.85546875" style="135" customWidth="1"/>
    <col min="13573" max="13573" width="9.28515625" style="135" bestFit="1" customWidth="1"/>
    <col min="13574" max="13574" width="12.140625" style="135" customWidth="1"/>
    <col min="13575" max="13575" width="12.7109375" style="135" customWidth="1"/>
    <col min="13576" max="13576" width="9.28515625" style="135" customWidth="1"/>
    <col min="13577" max="13577" width="9.28515625" style="135" bestFit="1" customWidth="1"/>
    <col min="13578" max="13578" width="13.140625" style="135" customWidth="1"/>
    <col min="13579" max="13579" width="13.5703125" style="135" customWidth="1"/>
    <col min="13580" max="13580" width="9.5703125" style="135" customWidth="1"/>
    <col min="13581" max="13581" width="14.85546875" style="135" customWidth="1"/>
    <col min="13582" max="13821" width="9.140625" style="135"/>
    <col min="13822" max="13822" width="5.5703125" style="135" customWidth="1"/>
    <col min="13823" max="13823" width="33.5703125" style="135" customWidth="1"/>
    <col min="13824" max="13824" width="15.5703125" style="135" customWidth="1"/>
    <col min="13825" max="13825" width="9.5703125" style="135" customWidth="1"/>
    <col min="13826" max="13826" width="11.7109375" style="135" customWidth="1"/>
    <col min="13827" max="13827" width="13.140625" style="135" customWidth="1"/>
    <col min="13828" max="13828" width="10.85546875" style="135" customWidth="1"/>
    <col min="13829" max="13829" width="9.28515625" style="135" bestFit="1" customWidth="1"/>
    <col min="13830" max="13830" width="12.140625" style="135" customWidth="1"/>
    <col min="13831" max="13831" width="12.7109375" style="135" customWidth="1"/>
    <col min="13832" max="13832" width="9.28515625" style="135" customWidth="1"/>
    <col min="13833" max="13833" width="9.28515625" style="135" bestFit="1" customWidth="1"/>
    <col min="13834" max="13834" width="13.140625" style="135" customWidth="1"/>
    <col min="13835" max="13835" width="13.5703125" style="135" customWidth="1"/>
    <col min="13836" max="13836" width="9.5703125" style="135" customWidth="1"/>
    <col min="13837" max="13837" width="14.85546875" style="135" customWidth="1"/>
    <col min="13838" max="14077" width="9.140625" style="135"/>
    <col min="14078" max="14078" width="5.5703125" style="135" customWidth="1"/>
    <col min="14079" max="14079" width="33.5703125" style="135" customWidth="1"/>
    <col min="14080" max="14080" width="15.5703125" style="135" customWidth="1"/>
    <col min="14081" max="14081" width="9.5703125" style="135" customWidth="1"/>
    <col min="14082" max="14082" width="11.7109375" style="135" customWidth="1"/>
    <col min="14083" max="14083" width="13.140625" style="135" customWidth="1"/>
    <col min="14084" max="14084" width="10.85546875" style="135" customWidth="1"/>
    <col min="14085" max="14085" width="9.28515625" style="135" bestFit="1" customWidth="1"/>
    <col min="14086" max="14086" width="12.140625" style="135" customWidth="1"/>
    <col min="14087" max="14087" width="12.7109375" style="135" customWidth="1"/>
    <col min="14088" max="14088" width="9.28515625" style="135" customWidth="1"/>
    <col min="14089" max="14089" width="9.28515625" style="135" bestFit="1" customWidth="1"/>
    <col min="14090" max="14090" width="13.140625" style="135" customWidth="1"/>
    <col min="14091" max="14091" width="13.5703125" style="135" customWidth="1"/>
    <col min="14092" max="14092" width="9.5703125" style="135" customWidth="1"/>
    <col min="14093" max="14093" width="14.85546875" style="135" customWidth="1"/>
    <col min="14094" max="14333" width="9.140625" style="135"/>
    <col min="14334" max="14334" width="5.5703125" style="135" customWidth="1"/>
    <col min="14335" max="14335" width="33.5703125" style="135" customWidth="1"/>
    <col min="14336" max="14336" width="15.5703125" style="135" customWidth="1"/>
    <col min="14337" max="14337" width="9.5703125" style="135" customWidth="1"/>
    <col min="14338" max="14338" width="11.7109375" style="135" customWidth="1"/>
    <col min="14339" max="14339" width="13.140625" style="135" customWidth="1"/>
    <col min="14340" max="14340" width="10.85546875" style="135" customWidth="1"/>
    <col min="14341" max="14341" width="9.28515625" style="135" bestFit="1" customWidth="1"/>
    <col min="14342" max="14342" width="12.140625" style="135" customWidth="1"/>
    <col min="14343" max="14343" width="12.7109375" style="135" customWidth="1"/>
    <col min="14344" max="14344" width="9.28515625" style="135" customWidth="1"/>
    <col min="14345" max="14345" width="9.28515625" style="135" bestFit="1" customWidth="1"/>
    <col min="14346" max="14346" width="13.140625" style="135" customWidth="1"/>
    <col min="14347" max="14347" width="13.5703125" style="135" customWidth="1"/>
    <col min="14348" max="14348" width="9.5703125" style="135" customWidth="1"/>
    <col min="14349" max="14349" width="14.85546875" style="135" customWidth="1"/>
    <col min="14350" max="14589" width="9.140625" style="135"/>
    <col min="14590" max="14590" width="5.5703125" style="135" customWidth="1"/>
    <col min="14591" max="14591" width="33.5703125" style="135" customWidth="1"/>
    <col min="14592" max="14592" width="15.5703125" style="135" customWidth="1"/>
    <col min="14593" max="14593" width="9.5703125" style="135" customWidth="1"/>
    <col min="14594" max="14594" width="11.7109375" style="135" customWidth="1"/>
    <col min="14595" max="14595" width="13.140625" style="135" customWidth="1"/>
    <col min="14596" max="14596" width="10.85546875" style="135" customWidth="1"/>
    <col min="14597" max="14597" width="9.28515625" style="135" bestFit="1" customWidth="1"/>
    <col min="14598" max="14598" width="12.140625" style="135" customWidth="1"/>
    <col min="14599" max="14599" width="12.7109375" style="135" customWidth="1"/>
    <col min="14600" max="14600" width="9.28515625" style="135" customWidth="1"/>
    <col min="14601" max="14601" width="9.28515625" style="135" bestFit="1" customWidth="1"/>
    <col min="14602" max="14602" width="13.140625" style="135" customWidth="1"/>
    <col min="14603" max="14603" width="13.5703125" style="135" customWidth="1"/>
    <col min="14604" max="14604" width="9.5703125" style="135" customWidth="1"/>
    <col min="14605" max="14605" width="14.85546875" style="135" customWidth="1"/>
    <col min="14606" max="14845" width="9.140625" style="135"/>
    <col min="14846" max="14846" width="5.5703125" style="135" customWidth="1"/>
    <col min="14847" max="14847" width="33.5703125" style="135" customWidth="1"/>
    <col min="14848" max="14848" width="15.5703125" style="135" customWidth="1"/>
    <col min="14849" max="14849" width="9.5703125" style="135" customWidth="1"/>
    <col min="14850" max="14850" width="11.7109375" style="135" customWidth="1"/>
    <col min="14851" max="14851" width="13.140625" style="135" customWidth="1"/>
    <col min="14852" max="14852" width="10.85546875" style="135" customWidth="1"/>
    <col min="14853" max="14853" width="9.28515625" style="135" bestFit="1" customWidth="1"/>
    <col min="14854" max="14854" width="12.140625" style="135" customWidth="1"/>
    <col min="14855" max="14855" width="12.7109375" style="135" customWidth="1"/>
    <col min="14856" max="14856" width="9.28515625" style="135" customWidth="1"/>
    <col min="14857" max="14857" width="9.28515625" style="135" bestFit="1" customWidth="1"/>
    <col min="14858" max="14858" width="13.140625" style="135" customWidth="1"/>
    <col min="14859" max="14859" width="13.5703125" style="135" customWidth="1"/>
    <col min="14860" max="14860" width="9.5703125" style="135" customWidth="1"/>
    <col min="14861" max="14861" width="14.85546875" style="135" customWidth="1"/>
    <col min="14862" max="15101" width="9.140625" style="135"/>
    <col min="15102" max="15102" width="5.5703125" style="135" customWidth="1"/>
    <col min="15103" max="15103" width="33.5703125" style="135" customWidth="1"/>
    <col min="15104" max="15104" width="15.5703125" style="135" customWidth="1"/>
    <col min="15105" max="15105" width="9.5703125" style="135" customWidth="1"/>
    <col min="15106" max="15106" width="11.7109375" style="135" customWidth="1"/>
    <col min="15107" max="15107" width="13.140625" style="135" customWidth="1"/>
    <col min="15108" max="15108" width="10.85546875" style="135" customWidth="1"/>
    <col min="15109" max="15109" width="9.28515625" style="135" bestFit="1" customWidth="1"/>
    <col min="15110" max="15110" width="12.140625" style="135" customWidth="1"/>
    <col min="15111" max="15111" width="12.7109375" style="135" customWidth="1"/>
    <col min="15112" max="15112" width="9.28515625" style="135" customWidth="1"/>
    <col min="15113" max="15113" width="9.28515625" style="135" bestFit="1" customWidth="1"/>
    <col min="15114" max="15114" width="13.140625" style="135" customWidth="1"/>
    <col min="15115" max="15115" width="13.5703125" style="135" customWidth="1"/>
    <col min="15116" max="15116" width="9.5703125" style="135" customWidth="1"/>
    <col min="15117" max="15117" width="14.85546875" style="135" customWidth="1"/>
    <col min="15118" max="15357" width="9.140625" style="135"/>
    <col min="15358" max="15358" width="5.5703125" style="135" customWidth="1"/>
    <col min="15359" max="15359" width="33.5703125" style="135" customWidth="1"/>
    <col min="15360" max="15360" width="15.5703125" style="135" customWidth="1"/>
    <col min="15361" max="15361" width="9.5703125" style="135" customWidth="1"/>
    <col min="15362" max="15362" width="11.7109375" style="135" customWidth="1"/>
    <col min="15363" max="15363" width="13.140625" style="135" customWidth="1"/>
    <col min="15364" max="15364" width="10.85546875" style="135" customWidth="1"/>
    <col min="15365" max="15365" width="9.28515625" style="135" bestFit="1" customWidth="1"/>
    <col min="15366" max="15366" width="12.140625" style="135" customWidth="1"/>
    <col min="15367" max="15367" width="12.7109375" style="135" customWidth="1"/>
    <col min="15368" max="15368" width="9.28515625" style="135" customWidth="1"/>
    <col min="15369" max="15369" width="9.28515625" style="135" bestFit="1" customWidth="1"/>
    <col min="15370" max="15370" width="13.140625" style="135" customWidth="1"/>
    <col min="15371" max="15371" width="13.5703125" style="135" customWidth="1"/>
    <col min="15372" max="15372" width="9.5703125" style="135" customWidth="1"/>
    <col min="15373" max="15373" width="14.85546875" style="135" customWidth="1"/>
    <col min="15374" max="15613" width="9.140625" style="135"/>
    <col min="15614" max="15614" width="5.5703125" style="135" customWidth="1"/>
    <col min="15615" max="15615" width="33.5703125" style="135" customWidth="1"/>
    <col min="15616" max="15616" width="15.5703125" style="135" customWidth="1"/>
    <col min="15617" max="15617" width="9.5703125" style="135" customWidth="1"/>
    <col min="15618" max="15618" width="11.7109375" style="135" customWidth="1"/>
    <col min="15619" max="15619" width="13.140625" style="135" customWidth="1"/>
    <col min="15620" max="15620" width="10.85546875" style="135" customWidth="1"/>
    <col min="15621" max="15621" width="9.28515625" style="135" bestFit="1" customWidth="1"/>
    <col min="15622" max="15622" width="12.140625" style="135" customWidth="1"/>
    <col min="15623" max="15623" width="12.7109375" style="135" customWidth="1"/>
    <col min="15624" max="15624" width="9.28515625" style="135" customWidth="1"/>
    <col min="15625" max="15625" width="9.28515625" style="135" bestFit="1" customWidth="1"/>
    <col min="15626" max="15626" width="13.140625" style="135" customWidth="1"/>
    <col min="15627" max="15627" width="13.5703125" style="135" customWidth="1"/>
    <col min="15628" max="15628" width="9.5703125" style="135" customWidth="1"/>
    <col min="15629" max="15629" width="14.85546875" style="135" customWidth="1"/>
    <col min="15630" max="15869" width="9.140625" style="135"/>
    <col min="15870" max="15870" width="5.5703125" style="135" customWidth="1"/>
    <col min="15871" max="15871" width="33.5703125" style="135" customWidth="1"/>
    <col min="15872" max="15872" width="15.5703125" style="135" customWidth="1"/>
    <col min="15873" max="15873" width="9.5703125" style="135" customWidth="1"/>
    <col min="15874" max="15874" width="11.7109375" style="135" customWidth="1"/>
    <col min="15875" max="15875" width="13.140625" style="135" customWidth="1"/>
    <col min="15876" max="15876" width="10.85546875" style="135" customWidth="1"/>
    <col min="15877" max="15877" width="9.28515625" style="135" bestFit="1" customWidth="1"/>
    <col min="15878" max="15878" width="12.140625" style="135" customWidth="1"/>
    <col min="15879" max="15879" width="12.7109375" style="135" customWidth="1"/>
    <col min="15880" max="15880" width="9.28515625" style="135" customWidth="1"/>
    <col min="15881" max="15881" width="9.28515625" style="135" bestFit="1" customWidth="1"/>
    <col min="15882" max="15882" width="13.140625" style="135" customWidth="1"/>
    <col min="15883" max="15883" width="13.5703125" style="135" customWidth="1"/>
    <col min="15884" max="15884" width="9.5703125" style="135" customWidth="1"/>
    <col min="15885" max="15885" width="14.85546875" style="135" customWidth="1"/>
    <col min="15886" max="16125" width="9.140625" style="135"/>
    <col min="16126" max="16126" width="5.5703125" style="135" customWidth="1"/>
    <col min="16127" max="16127" width="33.5703125" style="135" customWidth="1"/>
    <col min="16128" max="16128" width="15.5703125" style="135" customWidth="1"/>
    <col min="16129" max="16129" width="9.5703125" style="135" customWidth="1"/>
    <col min="16130" max="16130" width="11.7109375" style="135" customWidth="1"/>
    <col min="16131" max="16131" width="13.140625" style="135" customWidth="1"/>
    <col min="16132" max="16132" width="10.85546875" style="135" customWidth="1"/>
    <col min="16133" max="16133" width="9.28515625" style="135" bestFit="1" customWidth="1"/>
    <col min="16134" max="16134" width="12.140625" style="135" customWidth="1"/>
    <col min="16135" max="16135" width="12.7109375" style="135" customWidth="1"/>
    <col min="16136" max="16136" width="9.28515625" style="135" customWidth="1"/>
    <col min="16137" max="16137" width="9.28515625" style="135" bestFit="1" customWidth="1"/>
    <col min="16138" max="16138" width="13.140625" style="135" customWidth="1"/>
    <col min="16139" max="16139" width="13.5703125" style="135" customWidth="1"/>
    <col min="16140" max="16140" width="9.5703125" style="135" customWidth="1"/>
    <col min="16141" max="16141" width="14.85546875" style="135" customWidth="1"/>
    <col min="16142" max="16384" width="9.140625" style="135"/>
  </cols>
  <sheetData>
    <row r="1" spans="1:13" ht="51.6" customHeight="1">
      <c r="J1" s="288" t="s">
        <v>447</v>
      </c>
      <c r="K1" s="288"/>
      <c r="L1" s="288"/>
      <c r="M1" s="288"/>
    </row>
    <row r="2" spans="1:13" ht="32.25" customHeight="1">
      <c r="B2" s="302" t="s">
        <v>832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</row>
    <row r="3" spans="1:13" ht="19.5" customHeight="1">
      <c r="A3" s="303" t="s">
        <v>448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</row>
    <row r="4" spans="1:13" ht="21.75" customHeight="1">
      <c r="A4" s="304" t="s">
        <v>323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</row>
    <row r="5" spans="1:13" ht="15.75" customHeight="1">
      <c r="A5" s="305" t="s">
        <v>449</v>
      </c>
      <c r="B5" s="306" t="s">
        <v>450</v>
      </c>
      <c r="C5" s="306" t="s">
        <v>451</v>
      </c>
      <c r="D5" s="299" t="s">
        <v>452</v>
      </c>
      <c r="E5" s="300"/>
      <c r="F5" s="300"/>
      <c r="G5" s="300"/>
      <c r="H5" s="300"/>
      <c r="I5" s="300"/>
      <c r="J5" s="300"/>
      <c r="K5" s="300"/>
      <c r="L5" s="301"/>
      <c r="M5" s="306" t="s">
        <v>453</v>
      </c>
    </row>
    <row r="6" spans="1:13" ht="17.25" customHeight="1">
      <c r="A6" s="305"/>
      <c r="B6" s="307"/>
      <c r="C6" s="307"/>
      <c r="D6" s="299" t="s">
        <v>278</v>
      </c>
      <c r="E6" s="300"/>
      <c r="F6" s="301"/>
      <c r="G6" s="299" t="s">
        <v>291</v>
      </c>
      <c r="H6" s="300"/>
      <c r="I6" s="301"/>
      <c r="J6" s="299" t="s">
        <v>324</v>
      </c>
      <c r="K6" s="300"/>
      <c r="L6" s="301"/>
      <c r="M6" s="307"/>
    </row>
    <row r="7" spans="1:13" ht="47.25">
      <c r="A7" s="305"/>
      <c r="B7" s="308"/>
      <c r="C7" s="308"/>
      <c r="D7" s="138" t="s">
        <v>454</v>
      </c>
      <c r="E7" s="138" t="s">
        <v>455</v>
      </c>
      <c r="F7" s="139" t="s">
        <v>456</v>
      </c>
      <c r="G7" s="138" t="s">
        <v>454</v>
      </c>
      <c r="H7" s="138" t="s">
        <v>455</v>
      </c>
      <c r="I7" s="139" t="s">
        <v>456</v>
      </c>
      <c r="J7" s="138" t="s">
        <v>454</v>
      </c>
      <c r="K7" s="138" t="s">
        <v>455</v>
      </c>
      <c r="L7" s="139" t="s">
        <v>456</v>
      </c>
      <c r="M7" s="308"/>
    </row>
    <row r="8" spans="1:13" s="144" customFormat="1" ht="21.6" customHeight="1">
      <c r="A8" s="140">
        <v>1</v>
      </c>
      <c r="B8" s="140" t="s">
        <v>27</v>
      </c>
      <c r="C8" s="141" t="s">
        <v>457</v>
      </c>
      <c r="D8" s="142">
        <f>D12+D9</f>
        <v>2467.4</v>
      </c>
      <c r="E8" s="142">
        <f>E12+E9</f>
        <v>0</v>
      </c>
      <c r="F8" s="142">
        <f>F12+F9</f>
        <v>2467.4</v>
      </c>
      <c r="G8" s="142">
        <f>G12+G9</f>
        <v>6500</v>
      </c>
      <c r="H8" s="142">
        <f t="shared" ref="H8:I8" si="0">H12+H9</f>
        <v>0</v>
      </c>
      <c r="I8" s="142">
        <f t="shared" si="0"/>
        <v>6500</v>
      </c>
      <c r="J8" s="142">
        <f t="shared" ref="J8:L8" si="1">J12</f>
        <v>0</v>
      </c>
      <c r="K8" s="142">
        <f t="shared" si="1"/>
        <v>0</v>
      </c>
      <c r="L8" s="142">
        <f t="shared" si="1"/>
        <v>0</v>
      </c>
      <c r="M8" s="143" t="s">
        <v>57</v>
      </c>
    </row>
    <row r="9" spans="1:13" s="144" customFormat="1" ht="21.6" customHeight="1">
      <c r="A9" s="145" t="s">
        <v>485</v>
      </c>
      <c r="B9" s="91" t="s">
        <v>226</v>
      </c>
      <c r="C9" s="141"/>
      <c r="D9" s="146">
        <f>D10</f>
        <v>1395.3000000000002</v>
      </c>
      <c r="E9" s="146">
        <f t="shared" ref="E9:F9" si="2">E10</f>
        <v>0</v>
      </c>
      <c r="F9" s="146">
        <f t="shared" si="2"/>
        <v>1395.3000000000002</v>
      </c>
      <c r="G9" s="147">
        <f>G10+G11</f>
        <v>6500</v>
      </c>
      <c r="H9" s="147">
        <f t="shared" ref="H9:L9" si="3">H10</f>
        <v>0</v>
      </c>
      <c r="I9" s="147">
        <f>I10+I11</f>
        <v>6500</v>
      </c>
      <c r="J9" s="147">
        <f t="shared" si="3"/>
        <v>0</v>
      </c>
      <c r="K9" s="147">
        <f t="shared" si="3"/>
        <v>0</v>
      </c>
      <c r="L9" s="147">
        <f t="shared" si="3"/>
        <v>0</v>
      </c>
      <c r="M9" s="148" t="s">
        <v>225</v>
      </c>
    </row>
    <row r="10" spans="1:13" s="144" customFormat="1" ht="84.75" customHeight="1">
      <c r="A10" s="145" t="s">
        <v>458</v>
      </c>
      <c r="B10" s="149" t="s">
        <v>793</v>
      </c>
      <c r="C10" s="150" t="s">
        <v>245</v>
      </c>
      <c r="D10" s="146">
        <f>'[1]№ 4 ведом'!F220</f>
        <v>1395.3000000000002</v>
      </c>
      <c r="E10" s="146">
        <v>0</v>
      </c>
      <c r="F10" s="146">
        <f>SUM(D10:E10)</f>
        <v>1395.3000000000002</v>
      </c>
      <c r="G10" s="147">
        <v>0</v>
      </c>
      <c r="H10" s="147">
        <v>0</v>
      </c>
      <c r="I10" s="147">
        <f>G10+H10</f>
        <v>0</v>
      </c>
      <c r="J10" s="147">
        <v>0</v>
      </c>
      <c r="K10" s="147">
        <v>0</v>
      </c>
      <c r="L10" s="147">
        <f>J10+K10</f>
        <v>0</v>
      </c>
      <c r="M10" s="148" t="s">
        <v>225</v>
      </c>
    </row>
    <row r="11" spans="1:13" s="144" customFormat="1" ht="85.5" customHeight="1">
      <c r="A11" s="145"/>
      <c r="B11" s="149" t="s">
        <v>816</v>
      </c>
      <c r="C11" s="150" t="s">
        <v>245</v>
      </c>
      <c r="D11" s="146">
        <v>0</v>
      </c>
      <c r="E11" s="146">
        <v>0</v>
      </c>
      <c r="F11" s="146">
        <f>SUM(D11:E11)</f>
        <v>0</v>
      </c>
      <c r="G11" s="147">
        <f>'[1]№ 4 ведом'!G220</f>
        <v>6500</v>
      </c>
      <c r="H11" s="147">
        <v>0</v>
      </c>
      <c r="I11" s="147">
        <f>G11+H11</f>
        <v>6500</v>
      </c>
      <c r="J11" s="147"/>
      <c r="K11" s="147"/>
      <c r="L11" s="147"/>
      <c r="M11" s="148"/>
    </row>
    <row r="12" spans="1:13" ht="24" customHeight="1">
      <c r="A12" s="151" t="s">
        <v>483</v>
      </c>
      <c r="B12" s="151" t="s">
        <v>28</v>
      </c>
      <c r="C12" s="152" t="s">
        <v>457</v>
      </c>
      <c r="D12" s="146">
        <f>D13</f>
        <v>1072.0999999999999</v>
      </c>
      <c r="E12" s="146">
        <f t="shared" ref="E12:L12" si="4">E13</f>
        <v>0</v>
      </c>
      <c r="F12" s="146">
        <f t="shared" si="4"/>
        <v>1072.0999999999999</v>
      </c>
      <c r="G12" s="147">
        <f t="shared" si="4"/>
        <v>0</v>
      </c>
      <c r="H12" s="147">
        <f t="shared" si="4"/>
        <v>0</v>
      </c>
      <c r="I12" s="147">
        <f t="shared" si="4"/>
        <v>0</v>
      </c>
      <c r="J12" s="147">
        <f t="shared" si="4"/>
        <v>0</v>
      </c>
      <c r="K12" s="147">
        <f t="shared" si="4"/>
        <v>0</v>
      </c>
      <c r="L12" s="147">
        <f t="shared" si="4"/>
        <v>0</v>
      </c>
      <c r="M12" s="148" t="s">
        <v>49</v>
      </c>
    </row>
    <row r="13" spans="1:13" ht="189" customHeight="1">
      <c r="A13" s="153" t="s">
        <v>484</v>
      </c>
      <c r="B13" s="154" t="s">
        <v>459</v>
      </c>
      <c r="C13" s="150" t="s">
        <v>245</v>
      </c>
      <c r="D13" s="155">
        <f>'[1]№ 4 ведом'!F303</f>
        <v>1072.0999999999999</v>
      </c>
      <c r="E13" s="155">
        <v>0</v>
      </c>
      <c r="F13" s="155">
        <f>SUM(D13:E13)</f>
        <v>1072.0999999999999</v>
      </c>
      <c r="G13" s="147">
        <v>0</v>
      </c>
      <c r="H13" s="147">
        <v>0</v>
      </c>
      <c r="I13" s="147">
        <f>G13+H13</f>
        <v>0</v>
      </c>
      <c r="J13" s="147">
        <v>0</v>
      </c>
      <c r="K13" s="147">
        <v>0</v>
      </c>
      <c r="L13" s="147">
        <f>J13+K13</f>
        <v>0</v>
      </c>
      <c r="M13" s="156" t="s">
        <v>49</v>
      </c>
    </row>
    <row r="14" spans="1:13" s="144" customFormat="1">
      <c r="A14" s="140" t="s">
        <v>460</v>
      </c>
      <c r="B14" s="157" t="s">
        <v>31</v>
      </c>
      <c r="C14" s="141" t="s">
        <v>457</v>
      </c>
      <c r="D14" s="142">
        <f>D15</f>
        <v>0</v>
      </c>
      <c r="E14" s="142">
        <f t="shared" ref="E14:L16" si="5">E15</f>
        <v>11043.7</v>
      </c>
      <c r="F14" s="158">
        <f>SUM(D14:E14)</f>
        <v>11043.7</v>
      </c>
      <c r="G14" s="142">
        <f t="shared" si="5"/>
        <v>0</v>
      </c>
      <c r="H14" s="142">
        <f t="shared" si="5"/>
        <v>5521.9</v>
      </c>
      <c r="I14" s="142">
        <f t="shared" si="5"/>
        <v>5521.9</v>
      </c>
      <c r="J14" s="142">
        <f t="shared" si="5"/>
        <v>0</v>
      </c>
      <c r="K14" s="142">
        <f t="shared" si="5"/>
        <v>0</v>
      </c>
      <c r="L14" s="142">
        <f t="shared" si="5"/>
        <v>0</v>
      </c>
      <c r="M14" s="143" t="s">
        <v>39</v>
      </c>
    </row>
    <row r="15" spans="1:13">
      <c r="A15" s="159" t="s">
        <v>461</v>
      </c>
      <c r="B15" s="149" t="s">
        <v>85</v>
      </c>
      <c r="C15" s="160" t="s">
        <v>457</v>
      </c>
      <c r="D15" s="155">
        <f>D16</f>
        <v>0</v>
      </c>
      <c r="E15" s="155">
        <f t="shared" si="5"/>
        <v>11043.7</v>
      </c>
      <c r="F15" s="155">
        <f>SUM(D15:E15)</f>
        <v>11043.7</v>
      </c>
      <c r="G15" s="155">
        <f t="shared" si="5"/>
        <v>0</v>
      </c>
      <c r="H15" s="155">
        <f t="shared" si="5"/>
        <v>5521.9</v>
      </c>
      <c r="I15" s="155">
        <f t="shared" si="5"/>
        <v>5521.9</v>
      </c>
      <c r="J15" s="155">
        <f t="shared" si="5"/>
        <v>0</v>
      </c>
      <c r="K15" s="155">
        <f t="shared" si="5"/>
        <v>0</v>
      </c>
      <c r="L15" s="155">
        <f t="shared" si="5"/>
        <v>0</v>
      </c>
      <c r="M15" s="148" t="s">
        <v>84</v>
      </c>
    </row>
    <row r="16" spans="1:13" ht="42.75" customHeight="1">
      <c r="A16" s="151" t="s">
        <v>462</v>
      </c>
      <c r="B16" s="149" t="s">
        <v>463</v>
      </c>
      <c r="C16" s="161"/>
      <c r="D16" s="162">
        <f>D17</f>
        <v>0</v>
      </c>
      <c r="E16" s="162">
        <f t="shared" si="5"/>
        <v>11043.7</v>
      </c>
      <c r="F16" s="155">
        <f>SUM(D16:E16)</f>
        <v>11043.7</v>
      </c>
      <c r="G16" s="162">
        <f t="shared" si="5"/>
        <v>0</v>
      </c>
      <c r="H16" s="162">
        <f t="shared" si="5"/>
        <v>5521.9</v>
      </c>
      <c r="I16" s="162">
        <f t="shared" si="5"/>
        <v>5521.9</v>
      </c>
      <c r="J16" s="162">
        <f t="shared" si="5"/>
        <v>0</v>
      </c>
      <c r="K16" s="162">
        <f t="shared" si="5"/>
        <v>0</v>
      </c>
      <c r="L16" s="162">
        <f t="shared" si="5"/>
        <v>0</v>
      </c>
      <c r="M16" s="148" t="s">
        <v>84</v>
      </c>
    </row>
    <row r="17" spans="1:13" ht="98.25" customHeight="1">
      <c r="A17" s="151" t="s">
        <v>464</v>
      </c>
      <c r="B17" s="149" t="s">
        <v>465</v>
      </c>
      <c r="C17" s="161" t="s">
        <v>251</v>
      </c>
      <c r="D17" s="162">
        <v>0</v>
      </c>
      <c r="E17" s="162">
        <f>'[1]№ 4 ведом'!F742</f>
        <v>11043.7</v>
      </c>
      <c r="F17" s="155">
        <f>SUM(D17:E17)</f>
        <v>11043.7</v>
      </c>
      <c r="G17" s="162">
        <v>0</v>
      </c>
      <c r="H17" s="162">
        <f>'[2]№ 4 ведом'!G615</f>
        <v>5521.9</v>
      </c>
      <c r="I17" s="162">
        <f>G17+H17</f>
        <v>5521.9</v>
      </c>
      <c r="J17" s="162">
        <v>0</v>
      </c>
      <c r="K17" s="162">
        <v>0</v>
      </c>
      <c r="L17" s="162">
        <f>J17+K17</f>
        <v>0</v>
      </c>
      <c r="M17" s="148" t="s">
        <v>84</v>
      </c>
    </row>
    <row r="18" spans="1:13" s="144" customFormat="1" ht="28.5" customHeight="1">
      <c r="A18" s="163"/>
      <c r="B18" s="163" t="s">
        <v>0</v>
      </c>
      <c r="C18" s="164"/>
      <c r="D18" s="142">
        <f t="shared" ref="D18:L18" si="6">D8+D14</f>
        <v>2467.4</v>
      </c>
      <c r="E18" s="142">
        <f t="shared" si="6"/>
        <v>11043.7</v>
      </c>
      <c r="F18" s="142">
        <f t="shared" si="6"/>
        <v>13511.1</v>
      </c>
      <c r="G18" s="142">
        <f t="shared" si="6"/>
        <v>6500</v>
      </c>
      <c r="H18" s="142">
        <f t="shared" si="6"/>
        <v>5521.9</v>
      </c>
      <c r="I18" s="142">
        <f t="shared" si="6"/>
        <v>12021.9</v>
      </c>
      <c r="J18" s="142">
        <f t="shared" si="6"/>
        <v>0</v>
      </c>
      <c r="K18" s="142">
        <f t="shared" si="6"/>
        <v>0</v>
      </c>
      <c r="L18" s="142">
        <f t="shared" si="6"/>
        <v>0</v>
      </c>
      <c r="M18" s="165" t="s">
        <v>457</v>
      </c>
    </row>
    <row r="19" spans="1:13" ht="14.25" customHeight="1">
      <c r="A19" s="166"/>
      <c r="B19" s="167"/>
      <c r="C19" s="168"/>
      <c r="D19" s="169"/>
      <c r="E19" s="169"/>
      <c r="F19" s="170"/>
      <c r="G19" s="169"/>
      <c r="H19" s="169"/>
      <c r="I19" s="170"/>
      <c r="J19" s="169"/>
      <c r="K19" s="169"/>
      <c r="L19" s="170"/>
      <c r="M19" s="171"/>
    </row>
    <row r="20" spans="1:13" ht="2.25" hidden="1" customHeight="1">
      <c r="A20" s="166"/>
      <c r="B20" s="166"/>
      <c r="C20" s="172"/>
      <c r="D20" s="173"/>
      <c r="E20" s="173"/>
      <c r="F20" s="174"/>
      <c r="G20" s="173"/>
      <c r="H20" s="173"/>
      <c r="I20" s="174"/>
      <c r="J20" s="173"/>
      <c r="K20" s="173"/>
      <c r="L20" s="174"/>
      <c r="M20" s="175"/>
    </row>
    <row r="21" spans="1:13" hidden="1">
      <c r="A21" s="166"/>
      <c r="B21" s="166"/>
      <c r="C21" s="172"/>
      <c r="D21" s="173"/>
      <c r="E21" s="173"/>
      <c r="F21" s="174"/>
      <c r="G21" s="173"/>
      <c r="H21" s="173"/>
      <c r="I21" s="174"/>
      <c r="J21" s="173"/>
      <c r="K21" s="173"/>
      <c r="L21" s="174"/>
      <c r="M21" s="175"/>
    </row>
    <row r="22" spans="1:13" hidden="1">
      <c r="A22" s="166"/>
      <c r="B22" s="166"/>
      <c r="C22" s="172"/>
      <c r="D22" s="173" t="e">
        <f>#REF!+#REF!+#REF!</f>
        <v>#REF!</v>
      </c>
      <c r="E22" s="173" t="e">
        <f>#REF!+#REF!+#REF!</f>
        <v>#REF!</v>
      </c>
      <c r="F22" s="173" t="e">
        <f>#REF!+#REF!+#REF!</f>
        <v>#REF!</v>
      </c>
      <c r="G22" s="173" t="e">
        <f>#REF!+#REF!+#REF!</f>
        <v>#REF!</v>
      </c>
      <c r="H22" s="173" t="e">
        <f>#REF!+#REF!+#REF!</f>
        <v>#REF!</v>
      </c>
      <c r="I22" s="173" t="e">
        <f>#REF!+#REF!+#REF!</f>
        <v>#REF!</v>
      </c>
      <c r="J22" s="173" t="e">
        <f>#REF!+#REF!+#REF!</f>
        <v>#REF!</v>
      </c>
      <c r="K22" s="173" t="e">
        <f>#REF!+#REF!+#REF!</f>
        <v>#REF!</v>
      </c>
      <c r="L22" s="173" t="e">
        <f>#REF!+#REF!+#REF!</f>
        <v>#REF!</v>
      </c>
      <c r="M22" s="175"/>
    </row>
  </sheetData>
  <mergeCells count="12">
    <mergeCell ref="G6:I6"/>
    <mergeCell ref="J6:L6"/>
    <mergeCell ref="J1:M1"/>
    <mergeCell ref="B2:M2"/>
    <mergeCell ref="A3:M3"/>
    <mergeCell ref="A4:M4"/>
    <mergeCell ref="A5:A7"/>
    <mergeCell ref="B5:B7"/>
    <mergeCell ref="C5:C7"/>
    <mergeCell ref="D5:L5"/>
    <mergeCell ref="M5:M7"/>
    <mergeCell ref="D6:F6"/>
  </mergeCells>
  <pageMargins left="0.15748031496062992" right="0.15748031496062992" top="7.874015748031496E-2" bottom="0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№ 1 источ </vt:lpstr>
      <vt:lpstr>№ 2 дох.</vt:lpstr>
      <vt:lpstr>№ 3 р.п</vt:lpstr>
      <vt:lpstr>№ 4 ведом</vt:lpstr>
      <vt:lpstr> № 5  рп, кцср, квр</vt:lpstr>
      <vt:lpstr>№ 6 МП</vt:lpstr>
      <vt:lpstr>№ 8 АИП </vt:lpstr>
      <vt:lpstr>'№ 3 р.п'!Print_Area</vt:lpstr>
      <vt:lpstr>'№ 4 ведом'!Print_Area</vt:lpstr>
      <vt:lpstr>'№ 6 МП'!Print_Area</vt:lpstr>
      <vt:lpstr>'№ 2 дох.'!Область_печати</vt:lpstr>
      <vt:lpstr>'№ 6 МП'!Область_печати</vt:lpstr>
      <vt:lpstr>'№ 8 АИП '!Область_печати</vt:lpstr>
    </vt:vector>
  </TitlesOfParts>
  <Company>ОФ и ЭА Администрация города Торжка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Маслобойщикова</dc:creator>
  <cp:lastModifiedBy>Vershinskaya</cp:lastModifiedBy>
  <cp:lastPrinted>2026-10-12T09:50:20Z</cp:lastPrinted>
  <dcterms:created xsi:type="dcterms:W3CDTF">2007-11-30T05:39:28Z</dcterms:created>
  <dcterms:modified xsi:type="dcterms:W3CDTF">2026-10-21T08:56:35Z</dcterms:modified>
</cp:coreProperties>
</file>